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 yWindow="4310" windowWidth="15220" windowHeight="4190" firstSheet="1" activeTab="4"/>
  </bookViews>
  <sheets>
    <sheet name="הערות כלליות" sheetId="1" r:id="rId1"/>
    <sheet name="חתך קיר טיפוסי-אזור א" sheetId="2" r:id="rId2"/>
    <sheet name="חתך קיר טיפוסי-אזור ב" sheetId="3" r:id="rId3"/>
    <sheet name="חתך קיר טיפוסי-אזור ג" sheetId="4" r:id="rId4"/>
    <sheet name="חתך קיר טיפוסי-אזור ד" sheetId="5" r:id="rId5"/>
    <sheet name="TTC" sheetId="6" r:id="rId6"/>
    <sheet name="חישובG-מוליכות נפחית וU-היעברות" sheetId="7" r:id="rId7"/>
    <sheet name="חתך קיר טיפוסי-אזור א+ב" sheetId="8" r:id="rId8"/>
  </sheets>
  <definedNames>
    <definedName name="_xlnm.Print_Area" localSheetId="1">'חתך קיר טיפוסי-אזור א'!$A$1:$H$72</definedName>
    <definedName name="_xlnm.Print_Area" localSheetId="7">'חתך קיר טיפוסי-אזור א+ב'!$A$1:$H$72</definedName>
    <definedName name="_xlnm.Print_Area" localSheetId="2">'חתך קיר טיפוסי-אזור ב'!$A$1:$H$72</definedName>
    <definedName name="_xlnm.Print_Area" localSheetId="3">'חתך קיר טיפוסי-אזור ג'!$A$1:$I$73</definedName>
    <definedName name="_xlnm.Print_Area" localSheetId="4">'חתך קיר טיפוסי-אזור ד'!$A$1:$H$72</definedName>
  </definedNames>
  <calcPr fullCalcOnLoad="1"/>
</workbook>
</file>

<file path=xl/sharedStrings.xml><?xml version="1.0" encoding="utf-8"?>
<sst xmlns="http://schemas.openxmlformats.org/spreadsheetml/2006/main" count="614" uniqueCount="151">
  <si>
    <t>תאור מרכיבי מערכת 
קיר החוץ</t>
  </si>
  <si>
    <t>מוליכות תרמית חישובית
(לפי ת"י 1045 חלק 0)</t>
  </si>
  <si>
    <t>עובי השכבה</t>
  </si>
  <si>
    <t>התנגדות תרמית אופיינית לרכיב המערכת בעובי d</t>
  </si>
  <si>
    <r>
      <t>W</t>
    </r>
    <r>
      <rPr>
        <sz val="10"/>
        <rFont val="Arial"/>
        <family val="0"/>
      </rPr>
      <t xml:space="preserve"> [Kg/m</t>
    </r>
    <r>
      <rPr>
        <vertAlign val="superscript"/>
        <sz val="10"/>
        <rFont val="Arial"/>
        <family val="2"/>
      </rPr>
      <t>2</t>
    </r>
    <r>
      <rPr>
        <sz val="10"/>
        <rFont val="Arial"/>
        <family val="0"/>
      </rPr>
      <t>]</t>
    </r>
  </si>
  <si>
    <r>
      <t>ρ</t>
    </r>
    <r>
      <rPr>
        <sz val="10"/>
        <rFont val="Arial"/>
        <family val="0"/>
      </rPr>
      <t xml:space="preserve"> [Kg/m</t>
    </r>
    <r>
      <rPr>
        <vertAlign val="superscript"/>
        <sz val="10"/>
        <rFont val="Arial"/>
        <family val="2"/>
      </rPr>
      <t>3</t>
    </r>
    <r>
      <rPr>
        <sz val="10"/>
        <rFont val="Arial"/>
        <family val="2"/>
      </rPr>
      <t>]</t>
    </r>
  </si>
  <si>
    <r>
      <t>λ</t>
    </r>
    <r>
      <rPr>
        <sz val="10"/>
        <rFont val="Arial"/>
        <family val="0"/>
      </rPr>
      <t xml:space="preserve"> [Watt/(m x ˚C)]</t>
    </r>
  </si>
  <si>
    <r>
      <t>d</t>
    </r>
    <r>
      <rPr>
        <sz val="10"/>
        <rFont val="Arial"/>
        <family val="0"/>
      </rPr>
      <t xml:space="preserve"> [cm]</t>
    </r>
  </si>
  <si>
    <t>טיח גבס</t>
  </si>
  <si>
    <t>סיכום התוצאות:</t>
  </si>
  <si>
    <r>
      <t>r</t>
    </r>
    <r>
      <rPr>
        <sz val="10"/>
        <rFont val="Arial"/>
        <family val="0"/>
      </rPr>
      <t xml:space="preserve"> [m</t>
    </r>
    <r>
      <rPr>
        <vertAlign val="superscript"/>
        <sz val="10"/>
        <rFont val="Arial"/>
        <family val="2"/>
      </rPr>
      <t>2</t>
    </r>
    <r>
      <rPr>
        <sz val="10"/>
        <rFont val="Arial"/>
        <family val="0"/>
      </rPr>
      <t xml:space="preserve"> x ˚C/Watt]</t>
    </r>
  </si>
  <si>
    <t>סה"כ</t>
  </si>
  <si>
    <t>מסה סגולית מרחבית במצב יבש בתנור
 (לפי ת"י 1045 חלק 0)</t>
  </si>
  <si>
    <t>חיפוי באבן טבעית 
(אבן גיר)</t>
  </si>
  <si>
    <t>משקל אפקטיבי של מרכיב המערכת לצורך חישוב התנגדות תרמית למ"ר קיר</t>
  </si>
  <si>
    <t>שכבת הרבצה</t>
  </si>
  <si>
    <t>שמשקלו</t>
  </si>
  <si>
    <t>ק"ג\מ"ר</t>
  </si>
  <si>
    <t>ע"פ ת"י 1045 חלק 1 היא</t>
  </si>
  <si>
    <r>
      <t xml:space="preserve"> m</t>
    </r>
    <r>
      <rPr>
        <b/>
        <vertAlign val="superscript"/>
        <sz val="14"/>
        <rFont val="Arial"/>
        <family val="2"/>
      </rPr>
      <t>2</t>
    </r>
    <r>
      <rPr>
        <b/>
        <sz val="14"/>
        <rFont val="Arial"/>
        <family val="2"/>
      </rPr>
      <t>x˚C/Watt</t>
    </r>
  </si>
  <si>
    <t>r=</t>
  </si>
  <si>
    <r>
      <t>m</t>
    </r>
    <r>
      <rPr>
        <vertAlign val="superscript"/>
        <sz val="14"/>
        <rFont val="Arial"/>
        <family val="2"/>
      </rPr>
      <t>2</t>
    </r>
    <r>
      <rPr>
        <sz val="14"/>
        <rFont val="Arial"/>
        <family val="2"/>
      </rPr>
      <t>x˚C/Watt</t>
    </r>
  </si>
  <si>
    <t>בלוק איטונג  - 045</t>
  </si>
  <si>
    <t>חתך קיר אופייני</t>
  </si>
  <si>
    <t>בלוק איטונג  - 040</t>
  </si>
  <si>
    <t>בטון</t>
  </si>
  <si>
    <t>U</t>
  </si>
  <si>
    <t>R</t>
  </si>
  <si>
    <t>r</t>
  </si>
  <si>
    <t>טיח שחור</t>
  </si>
  <si>
    <t>חישוב תרמי של קיר חוץ-אזור ב'</t>
  </si>
  <si>
    <t>חישוב תרמי של קיר חוץ-אזור א'</t>
  </si>
  <si>
    <t>חישוב תרמי של קיר חוץ-אזור ג'</t>
  </si>
  <si>
    <t>חישוב תרמי של קיר חוץ-אזור ד'</t>
  </si>
  <si>
    <t>(r=1.2-0.001*m) (200&lt;m&lt;300)
(r=1.8-0.004*m) (150&lt;m&lt;200)
(r=2.1-0.006*m) (100&lt;m&lt;150)</t>
  </si>
  <si>
    <t>ערכים בטבלאות:</t>
  </si>
  <si>
    <t>1. יש לחשב את מסת הקיר בתכולת רטיבות טבעית (סעיף 6.1 1045 חלק 0)</t>
  </si>
  <si>
    <t>2. מתחשבים רק ב 50% מהמסה של השכבות שמחוץ לשכבת הבידוד של הקיר (סעיף 6.2 1045 חלק 0)</t>
  </si>
  <si>
    <t>3. את Z קובעים לפי התקו הגרמני DIN 52612 part 2- 1984 או לפי תוצאות מחקר של מוסד מחקר מוכר.(סעיף א-1.1.2 1045 חלק 0)</t>
  </si>
  <si>
    <t>4. התנגדות תרמית של מרווח אוויר לפי טבלה ב-5 בעמ' 19</t>
  </si>
  <si>
    <t>חישוב קבוע זמן תרמי</t>
  </si>
  <si>
    <t>מס' שכבה
(מהחוץ אל הפנים)</t>
  </si>
  <si>
    <t>סוג שכבה</t>
  </si>
  <si>
    <t>עובי שכבה</t>
  </si>
  <si>
    <t>מוליכות תרמית חישובית</t>
  </si>
  <si>
    <t>התנגדות תרמית חישובית</t>
  </si>
  <si>
    <t>משקל מרחבי</t>
  </si>
  <si>
    <t>קיבול חום סגולי</t>
  </si>
  <si>
    <t>קבוע זמן תרמי</t>
  </si>
  <si>
    <t>d</t>
  </si>
  <si>
    <t>λ</t>
  </si>
  <si>
    <t>ρ</t>
  </si>
  <si>
    <t>C</t>
  </si>
  <si>
    <t>TTC</t>
  </si>
  <si>
    <t>[cm]</t>
  </si>
  <si>
    <t>[Watt/(m x ˚C)]</t>
  </si>
  <si>
    <t>[m2 x ˚C/Watt]</t>
  </si>
  <si>
    <r>
      <t>[Kg/m</t>
    </r>
    <r>
      <rPr>
        <vertAlign val="superscript"/>
        <sz val="10"/>
        <rFont val="Arial"/>
        <family val="2"/>
      </rPr>
      <t>3</t>
    </r>
    <r>
      <rPr>
        <sz val="10"/>
        <rFont val="Arial"/>
        <family val="2"/>
      </rPr>
      <t>]</t>
    </r>
  </si>
  <si>
    <t>[Kj/(Kg x ˚C)]</t>
  </si>
  <si>
    <t>[h]</t>
  </si>
  <si>
    <t>טיח חוץ (מלט סיד צמנט)</t>
  </si>
  <si>
    <t>שכבת הרבצה (מלט צמנט)</t>
  </si>
  <si>
    <t>בלוק איטונג 045</t>
  </si>
  <si>
    <t>טיח פנים (מלט סיד צמנט)</t>
  </si>
  <si>
    <t>חיפוי אבן (אבן גיר)</t>
  </si>
  <si>
    <t>טיט צמנטי (מלט צמנט)</t>
  </si>
  <si>
    <t>מלט בגב האבן</t>
  </si>
  <si>
    <t>-</t>
  </si>
  <si>
    <t>צמר סלעים/ זכוכית</t>
  </si>
  <si>
    <t>לוח גבס</t>
  </si>
  <si>
    <t>צמנט בורד</t>
  </si>
  <si>
    <t>בלוק איטונג  - 030</t>
  </si>
  <si>
    <t>טיח תרמי כבד</t>
  </si>
  <si>
    <t>טיח תרמי קל</t>
  </si>
  <si>
    <t>בלוק שחור 5 חורים</t>
  </si>
  <si>
    <t>חישוב מוליכות תרמית נפחית לפי ת"י 1045 חלקים 0 ו1 משנת 2003</t>
  </si>
  <si>
    <t>A</t>
  </si>
  <si>
    <t>Rm</t>
  </si>
  <si>
    <t>חתך 1</t>
  </si>
  <si>
    <t>חתך 2</t>
  </si>
  <si>
    <t>גשר תרמי 1</t>
  </si>
  <si>
    <t>גשר תרמי 2</t>
  </si>
  <si>
    <r>
      <t>S</t>
    </r>
    <r>
      <rPr>
        <sz val="10"/>
        <rFont val="Arial"/>
        <family val="2"/>
      </rPr>
      <t>A</t>
    </r>
  </si>
  <si>
    <t>חלונות ודלתות</t>
  </si>
  <si>
    <t>תקרה 1</t>
  </si>
  <si>
    <t>תקרה 2</t>
  </si>
  <si>
    <t>רצפה 1</t>
  </si>
  <si>
    <t>רצפה 2</t>
  </si>
  <si>
    <t>A/R</t>
  </si>
  <si>
    <t>נפח דירה</t>
  </si>
  <si>
    <t>מוליכות נפחית</t>
  </si>
  <si>
    <t>מס' החלפות אוויר בשעה (0.8,0.9,1.0,2.0,3.0)</t>
  </si>
  <si>
    <t>Um</t>
  </si>
  <si>
    <t>קיר חוץ חשוף</t>
  </si>
  <si>
    <t>קיר חוץ לא חשוף</t>
  </si>
  <si>
    <t>30/2=15</t>
  </si>
  <si>
    <t>4/2=2</t>
  </si>
  <si>
    <t>שטח דירה</t>
  </si>
  <si>
    <t>בלוק איטונג  - 050</t>
  </si>
  <si>
    <t>בלוק איטונג  - 060</t>
  </si>
  <si>
    <t>בלוק אשבונד</t>
  </si>
  <si>
    <t xml:space="preserve">מערכת הקיר לעיל </t>
  </si>
  <si>
    <t>על דרישות ת"י 1045 לבידוד תרמי</t>
  </si>
  <si>
    <t>על דרישות ת"י 5282</t>
  </si>
  <si>
    <t>U=</t>
  </si>
  <si>
    <t>השימוש בקובץ זה באחריות המשתמש בלבד</t>
  </si>
  <si>
    <t>עודכן ב:</t>
  </si>
  <si>
    <t>מרווח אוויר -מינ' 1.3 ס"מ
(ללא רדיד אלומיניום)</t>
  </si>
  <si>
    <t>קלקר (פוליסטירן מוקצף קשיח מיוצר מגרגירים)</t>
  </si>
  <si>
    <t>רונדופן (פוליסטירן מוקצף קשיח מיוצר בשיחול, עם כיסוי)</t>
  </si>
  <si>
    <t>פוליאוריתן מוקצף מותז</t>
  </si>
  <si>
    <r>
      <t xml:space="preserve">בלוק פומיס 20 </t>
    </r>
    <r>
      <rPr>
        <vertAlign val="subscript"/>
        <sz val="12"/>
        <rFont val="Arial"/>
        <family val="2"/>
      </rPr>
      <t xml:space="preserve">(בלוק מס' 19 בטבלה א-1 בת"י 5) 
</t>
    </r>
    <r>
      <rPr>
        <sz val="12"/>
        <rFont val="Arial"/>
        <family val="2"/>
      </rPr>
      <t>(8 חורים, כינוי תרמי 090)</t>
    </r>
  </si>
  <si>
    <r>
      <t xml:space="preserve">בלוק פומיס 22 </t>
    </r>
    <r>
      <rPr>
        <vertAlign val="subscript"/>
        <sz val="12"/>
        <rFont val="Arial"/>
        <family val="2"/>
      </rPr>
      <t xml:space="preserve">(בלוק מס' 4 בטבלה א-1 בת"י 5) 
</t>
    </r>
    <r>
      <rPr>
        <sz val="12"/>
        <rFont val="Arial"/>
        <family val="2"/>
      </rPr>
      <t>(8 חורים, כינוי תרמי 090)</t>
    </r>
  </si>
  <si>
    <r>
      <t xml:space="preserve">בלוק פומיס 22  </t>
    </r>
    <r>
      <rPr>
        <vertAlign val="subscript"/>
        <sz val="12"/>
        <rFont val="Arial"/>
        <family val="2"/>
      </rPr>
      <t>(בלוק מס' 2,3 בטבלה א-1 בת"י 5)</t>
    </r>
    <r>
      <rPr>
        <sz val="12"/>
        <rFont val="Arial"/>
        <family val="2"/>
      </rPr>
      <t xml:space="preserve"> (13-20 חורים, כינויו זהב\ יהלום, כינוי תרמי 095)</t>
    </r>
  </si>
  <si>
    <r>
      <t xml:space="preserve">בלוק פומיס 22 </t>
    </r>
    <r>
      <rPr>
        <vertAlign val="subscript"/>
        <sz val="12"/>
        <rFont val="Arial"/>
        <family val="2"/>
      </rPr>
      <t xml:space="preserve">(בלוק מס' 7 בטבלה א-1 בת"י 5) 
</t>
    </r>
    <r>
      <rPr>
        <sz val="12"/>
        <rFont val="Arial"/>
        <family val="2"/>
      </rPr>
      <t>(5 חורים, כינוי תרמי 080)</t>
    </r>
  </si>
  <si>
    <r>
      <t xml:space="preserve">בלוק פומיס 20 </t>
    </r>
    <r>
      <rPr>
        <vertAlign val="subscript"/>
        <sz val="12"/>
        <rFont val="Arial"/>
        <family val="2"/>
      </rPr>
      <t xml:space="preserve">(בלוק מס' 24 בטבלה א-1 בת"י 5) 
</t>
    </r>
    <r>
      <rPr>
        <sz val="12"/>
        <rFont val="Arial"/>
        <family val="2"/>
      </rPr>
      <t>(7 חורים, כינוי תרמי 075)</t>
    </r>
  </si>
  <si>
    <r>
      <t>בלוק פומיס עם קלקר-25</t>
    </r>
    <r>
      <rPr>
        <vertAlign val="subscript"/>
        <sz val="12"/>
        <rFont val="Arial"/>
        <family val="2"/>
      </rPr>
      <t xml:space="preserve"> (משקל בלוק בהערכה)</t>
    </r>
  </si>
  <si>
    <t>משוואות לחישוב התנגדות תרמית מינימלית נדרשת לקיר חוץ באזור ב', כתלות במסת הקיר</t>
  </si>
  <si>
    <t>(r=1.3-0.002*m) (200&lt;m&lt;300)
(r=1.7-0.004*m) (150&lt;m&lt;200)
(r=2.3-0.008*m) (100&lt;m&lt;150)</t>
  </si>
  <si>
    <t>הדרישה להתנגדות תרמית אופיינית לאלמנט קיר חוץ באזור אקלים א'</t>
  </si>
  <si>
    <t>(r=1.2-0.002*m) (200&lt;m&lt;300)
(r=1.6-0.004*m) (150&lt;m&lt;200)
(r=1.75-0.005*m) (100&lt;m&lt;150)</t>
  </si>
  <si>
    <t>הדרישה להתנגדות תרמית אופיינית לאלמנט קיר חוץ באזור אקלים ב'</t>
  </si>
  <si>
    <t>משוואות לחישוב התנגדות תרמית מינימלית נדרשת לקיר חוץ באזור ג', כתלות במסת הקיר</t>
  </si>
  <si>
    <t>(r=1.4-0.002*m) (200&lt;m&lt;300)
(r=1.8-0.004*m) (150&lt;m&lt;200)
(r=2.1-0.006*m) (100&lt;m&lt;150)</t>
  </si>
  <si>
    <t>הדרישה להתנגדות תרמית אופיינית לאלמנט קיר חוץ באזור אקלים ג'</t>
  </si>
  <si>
    <t>משוואות לחישוב התנגדות תרמית מינימלית נדרשת לקיר חוץ באזור ד', כתלות במסת הקיר</t>
  </si>
  <si>
    <t xml:space="preserve">הדרישה להתנגדות תרמית אופיינית לאלמנט קיר חוץ באזור אקלים ד' </t>
  </si>
  <si>
    <t>דרישה לדירוג C,D,E  לפי 5282</t>
  </si>
  <si>
    <t>דרישה לדירוג B  לפי 5282</t>
  </si>
  <si>
    <t>דרישה לדירוג A  לפי 5282</t>
  </si>
  <si>
    <t>משוואות לחישוב התנגדות תרמית מינימלית נדרשת לקיר חוץ באזור א', כתלות במסת הקיר</t>
  </si>
  <si>
    <t>דירוג מסת קיר החוץ</t>
  </si>
  <si>
    <t xml:space="preserve"> ההתנגדות התרמית האופיינת המתקבלת לחתך הקיר האופייני בפרוייקט</t>
  </si>
  <si>
    <t xml:space="preserve"> ההתנגדות התרמית האופיינת הנידרשת לחתך הקיר האופייני בפרוייקט</t>
  </si>
  <si>
    <r>
      <t xml:space="preserve">שימו לב! באחריות המשתמש לבדוק את מסת המבנה, לשם קבלת דירוג לפי ת"י 5282. 
גליון זה לא בודק את מסת המבנה!!!
</t>
    </r>
    <r>
      <rPr>
        <b/>
        <u val="single"/>
        <sz val="28"/>
        <rFont val="Arial"/>
        <family val="2"/>
      </rPr>
      <t>מבנים קלים לא מדורגים בשיטה המרשמית ולפיכך ידורגו בשיטה התפקודית בלבד (באמצעות הדמיות מחשב בלבד)</t>
    </r>
  </si>
  <si>
    <t>יש 3 הגדרות למסת המבנה: מבנה כבד, מבנה חצי כבד ומבנה קל.
מבנה כבד: "מבנה שבו הרצפות, התקרות והקירות המפרידים בין יחידות דיור ובין יחידות דיור לבין חדר המדרגות, הם אלמנטים כבדים"
מבנה חצי כבד: "מבנה שבו הרצפות או התקרות הם אלמנטים קלים או חצי כבדים, אבל לא שניהם יחד, והקירות המפרידים בין יחידות דיור ובין יחידות דיור לבין חדרי המדרגות, הם אלמנטים חצי כבדים לפחות, או, מבנה שבו הרצפות והתקרות הן אלמנטים כבדים והקירות הפנימיים מאלמנטים כל שהם"
מבנה קל: "מבנה שאיננו כבד או חצי כבד"
אלמנט כבד: "אלמנט בניין (קיר חוץ, תקרה או רצפה) בעל מסה תרמית אפקטיבית (תא E50) בחתך אופייני ליחידת שטח השווה 250 ק"ג\מ"ר או גדולה יותר"
אלמנט חצי כבד: "אלמנט בניין (קיר חוץ, תקרה או רצפה) בעל מסה תרמית אפקטיבית (תא E50) בחתך אופייני ליחידת שטח השווה 100 ק"ג\מ"ר או גדולה יותר, והקטנה מ250 ק"ג\מ"ר"
אלמנט קל: "אלמנט בניין (קיר חוץ, תקרה או רצפה) בעל מסה תרמית אפקטיבית (תא E50) בחתך אופייני ליחידת שטח הקטנה מ-100 ק"ג\מ"ר"</t>
  </si>
  <si>
    <t>חישוב תרמי של קיר חוץ-אזור א' + ב' (טיוטת הצעה)</t>
  </si>
  <si>
    <t>08.09.2011</t>
  </si>
  <si>
    <t>הדרישה להתנגדות תרמית אופיינית לאלמנט קיר חוץ באזור אקלים א' + ב'</t>
  </si>
  <si>
    <t>משוואות לחישוב התנגדות תרמית מינימלית נדרשת לקיר חוץ באזור א' + ב', כתלות במסת הקיר</t>
  </si>
  <si>
    <t>ערכים ממוצעים בין א' לב'</t>
  </si>
  <si>
    <t>Watt/m2x˚C</t>
  </si>
  <si>
    <t xml:space="preserve"> ערך U המתקבל לחתך הקיר האופייני בפרוייקט</t>
  </si>
  <si>
    <t>בלוק איטונג  - 020</t>
  </si>
  <si>
    <t>בהרצה</t>
  </si>
  <si>
    <t xml:space="preserve">בהתאם לערכי הרוויזיה לתקן שיהיו תקפים מ1.1.2012 </t>
  </si>
  <si>
    <t>טיח פנים (גבס)</t>
  </si>
  <si>
    <t>על דרישות ת"י 5282 (ספטמבר 2011)</t>
  </si>
  <si>
    <t>על דרישות ת"י 1045 (יולי 2011) לבידוד תרמי</t>
  </si>
  <si>
    <t>ע"פ ת"י 1045 חלק  1
(יולי 2011) היא</t>
  </si>
  <si>
    <t>15.11.2011</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</si>
</sst>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 numFmtId="174" formatCode="0.000"/>
    <numFmt numFmtId="175" formatCode="0.00000"/>
    <numFmt numFmtId="176" formatCode="0.0000"/>
  </numFmts>
  <fonts count="65">
    <font>
      <sz val="10"/>
      <name val="Arial"/>
      <family val="0"/>
    </font>
    <font>
      <sz val="8"/>
      <name val="Arial"/>
      <family val="2"/>
    </font>
    <font>
      <vertAlign val="superscript"/>
      <sz val="10"/>
      <name val="Arial"/>
      <family val="2"/>
    </font>
    <font>
      <sz val="16"/>
      <name val="Arial"/>
      <family val="2"/>
    </font>
    <font>
      <u val="single"/>
      <sz val="10"/>
      <color indexed="12"/>
      <name val="Arial"/>
      <family val="2"/>
    </font>
    <font>
      <sz val="14"/>
      <name val="Arial"/>
      <family val="2"/>
    </font>
    <font>
      <u val="single"/>
      <sz val="20"/>
      <name val="Arial"/>
      <family val="2"/>
    </font>
    <font>
      <b/>
      <sz val="14"/>
      <name val="Arial"/>
      <family val="2"/>
    </font>
    <font>
      <b/>
      <u val="single"/>
      <sz val="14"/>
      <name val="Arial"/>
      <family val="2"/>
    </font>
    <font>
      <b/>
      <sz val="16"/>
      <name val="Arial"/>
      <family val="2"/>
    </font>
    <font>
      <sz val="12"/>
      <name val="Arial"/>
      <family val="2"/>
    </font>
    <font>
      <b/>
      <vertAlign val="superscript"/>
      <sz val="14"/>
      <name val="Arial"/>
      <family val="2"/>
    </font>
    <font>
      <vertAlign val="superscript"/>
      <sz val="14"/>
      <name val="Arial"/>
      <family val="2"/>
    </font>
    <font>
      <u val="single"/>
      <sz val="7.5"/>
      <color indexed="36"/>
      <name val="Arial"/>
      <family val="2"/>
    </font>
    <font>
      <sz val="10"/>
      <name val="GreekC"/>
      <family val="0"/>
    </font>
    <font>
      <b/>
      <sz val="10"/>
      <name val="Arial"/>
      <family val="2"/>
    </font>
    <font>
      <b/>
      <i/>
      <sz val="10"/>
      <name val="Arial"/>
      <family val="2"/>
    </font>
    <font>
      <b/>
      <sz val="18"/>
      <name val="Arial"/>
      <family val="2"/>
    </font>
    <font>
      <sz val="22"/>
      <name val="Arial"/>
      <family val="2"/>
    </font>
    <font>
      <vertAlign val="subscript"/>
      <sz val="12"/>
      <name val="Arial"/>
      <family val="2"/>
    </font>
    <font>
      <sz val="10"/>
      <color indexed="10"/>
      <name val="Arial"/>
      <family val="2"/>
    </font>
    <font>
      <b/>
      <sz val="12"/>
      <color indexed="10"/>
      <name val="Arial"/>
      <family val="2"/>
    </font>
    <font>
      <b/>
      <u val="single"/>
      <sz val="16"/>
      <name val="Arial"/>
      <family val="2"/>
    </font>
    <font>
      <b/>
      <sz val="12"/>
      <name val="Arial"/>
      <family val="2"/>
    </font>
    <font>
      <b/>
      <sz val="22"/>
      <name val="Arial"/>
      <family val="2"/>
    </font>
    <font>
      <b/>
      <u val="single"/>
      <sz val="28"/>
      <name val="Arial"/>
      <family val="2"/>
    </font>
    <font>
      <sz val="18"/>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18"/>
      <color indexed="10"/>
      <name val="Arial"/>
      <family val="2"/>
    </font>
    <font>
      <b/>
      <sz val="22"/>
      <color indexed="10"/>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b/>
      <sz val="18"/>
      <color rgb="FFFF0000"/>
      <name val="Arial"/>
      <family val="2"/>
    </font>
    <font>
      <b/>
      <sz val="22"/>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rgb="FFFFFF00"/>
        <bgColor indexed="64"/>
      </patternFill>
    </fill>
    <fill>
      <patternFill patternType="solid">
        <fgColor indexed="52"/>
        <bgColor indexed="64"/>
      </patternFill>
    </fill>
  </fills>
  <borders count="3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style="double"/>
    </border>
    <border>
      <left style="medium"/>
      <right style="thin"/>
      <top>
        <color indexed="63"/>
      </top>
      <bottom style="medium"/>
    </border>
    <border>
      <left style="thin"/>
      <right style="thin"/>
      <top>
        <color indexed="63"/>
      </top>
      <bottom style="medium"/>
    </border>
    <border>
      <left style="thin"/>
      <right style="thin"/>
      <top style="thin"/>
      <bottom style="thin"/>
    </border>
    <border>
      <left style="thin"/>
      <right style="thin"/>
      <top style="thin"/>
      <bottom style="double"/>
    </border>
    <border>
      <left>
        <color indexed="63"/>
      </left>
      <right style="thin"/>
      <top style="medium"/>
      <bottom style="medium"/>
    </border>
    <border>
      <left>
        <color indexed="63"/>
      </left>
      <right style="thin"/>
      <top>
        <color indexed="63"/>
      </top>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double"/>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style="double"/>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 fillId="0" borderId="0" applyNumberFormat="0" applyFill="0" applyBorder="0" applyAlignment="0" applyProtection="0"/>
    <xf numFmtId="0" fontId="13" fillId="0" borderId="0" applyNumberFormat="0" applyFill="0" applyBorder="0" applyAlignment="0" applyProtection="0"/>
    <xf numFmtId="0" fontId="0" fillId="26" borderId="1" applyNumberFormat="0" applyFont="0" applyAlignment="0" applyProtection="0"/>
    <xf numFmtId="0" fontId="48" fillId="27" borderId="2" applyNumberFormat="0" applyAlignment="0" applyProtection="0"/>
    <xf numFmtId="0" fontId="49" fillId="2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42" fontId="0" fillId="0" borderId="0" applyFont="0" applyFill="0" applyBorder="0" applyAlignment="0" applyProtection="0"/>
    <xf numFmtId="0" fontId="56" fillId="29" borderId="0" applyNumberFormat="0" applyBorder="0" applyAlignment="0" applyProtection="0"/>
    <xf numFmtId="0" fontId="57" fillId="0" borderId="6" applyNumberFormat="0" applyFill="0" applyAlignment="0" applyProtection="0"/>
    <xf numFmtId="0" fontId="58" fillId="27" borderId="7" applyNumberFormat="0" applyAlignment="0" applyProtection="0"/>
    <xf numFmtId="41" fontId="0" fillId="0" borderId="0" applyFont="0" applyFill="0" applyBorder="0" applyAlignment="0" applyProtection="0"/>
    <xf numFmtId="0" fontId="59" fillId="30" borderId="2" applyNumberFormat="0" applyAlignment="0" applyProtection="0"/>
    <xf numFmtId="0" fontId="60" fillId="31" borderId="0" applyNumberFormat="0" applyBorder="0" applyAlignment="0" applyProtection="0"/>
    <xf numFmtId="0" fontId="61" fillId="32" borderId="8" applyNumberFormat="0" applyAlignment="0" applyProtection="0"/>
    <xf numFmtId="0" fontId="62" fillId="0" borderId="9" applyNumberFormat="0" applyFill="0" applyAlignment="0" applyProtection="0"/>
  </cellStyleXfs>
  <cellXfs count="105">
    <xf numFmtId="0" fontId="0" fillId="0" borderId="0" xfId="0" applyAlignment="1">
      <alignment/>
    </xf>
    <xf numFmtId="0" fontId="0" fillId="0" borderId="10" xfId="0" applyBorder="1" applyAlignment="1">
      <alignment vertical="center" wrapText="1"/>
    </xf>
    <xf numFmtId="0" fontId="0" fillId="0" borderId="11" xfId="0" applyBorder="1" applyAlignment="1">
      <alignment horizontal="center" vertical="center" wrapText="1"/>
    </xf>
    <xf numFmtId="0" fontId="0" fillId="0" borderId="0" xfId="0" applyAlignment="1">
      <alignment vertical="center"/>
    </xf>
    <xf numFmtId="0" fontId="0" fillId="0" borderId="12" xfId="0" applyBorder="1" applyAlignment="1">
      <alignment vertical="center"/>
    </xf>
    <xf numFmtId="0" fontId="3" fillId="0" borderId="13" xfId="0" applyFont="1" applyBorder="1" applyAlignment="1">
      <alignment horizontal="center" vertical="center"/>
    </xf>
    <xf numFmtId="0" fontId="5" fillId="0" borderId="0" xfId="0" applyFont="1" applyAlignment="1">
      <alignment vertical="center"/>
    </xf>
    <xf numFmtId="0" fontId="5" fillId="0" borderId="0" xfId="0" applyFont="1" applyAlignment="1">
      <alignment/>
    </xf>
    <xf numFmtId="0" fontId="9" fillId="0" borderId="0" xfId="0" applyFont="1" applyAlignment="1">
      <alignment/>
    </xf>
    <xf numFmtId="0" fontId="10" fillId="0" borderId="14" xfId="0" applyFont="1" applyBorder="1" applyAlignment="1">
      <alignment vertical="center" wrapText="1"/>
    </xf>
    <xf numFmtId="0" fontId="10" fillId="0" borderId="14" xfId="0" applyFont="1" applyBorder="1" applyAlignment="1">
      <alignment vertical="center"/>
    </xf>
    <xf numFmtId="0" fontId="10" fillId="0" borderId="15" xfId="0" applyFont="1" applyBorder="1" applyAlignment="1">
      <alignment vertical="center"/>
    </xf>
    <xf numFmtId="0" fontId="7" fillId="0" borderId="16" xfId="0" applyFont="1" applyFill="1" applyBorder="1" applyAlignment="1">
      <alignment vertical="center"/>
    </xf>
    <xf numFmtId="0" fontId="7" fillId="0" borderId="17" xfId="0" applyFont="1" applyFill="1" applyBorder="1" applyAlignment="1">
      <alignment horizontal="center" vertical="center"/>
    </xf>
    <xf numFmtId="0" fontId="10" fillId="0" borderId="0" xfId="0" applyFont="1" applyFill="1" applyAlignment="1">
      <alignment horizontal="center" vertical="center" wrapText="1"/>
    </xf>
    <xf numFmtId="0" fontId="0" fillId="0" borderId="0" xfId="0" applyFill="1" applyAlignment="1">
      <alignment/>
    </xf>
    <xf numFmtId="0" fontId="7" fillId="0" borderId="0" xfId="0" applyFont="1" applyFill="1" applyAlignment="1">
      <alignment horizontal="left" vertical="center" wrapText="1"/>
    </xf>
    <xf numFmtId="0" fontId="0" fillId="0" borderId="0" xfId="0" applyFill="1" applyAlignment="1">
      <alignment horizontal="right"/>
    </xf>
    <xf numFmtId="0" fontId="8" fillId="0" borderId="0" xfId="0" applyFont="1" applyFill="1" applyAlignment="1">
      <alignment/>
    </xf>
    <xf numFmtId="0" fontId="10" fillId="0" borderId="0" xfId="0" applyFont="1" applyFill="1" applyAlignment="1">
      <alignment/>
    </xf>
    <xf numFmtId="0" fontId="5" fillId="0" borderId="0" xfId="0" applyFont="1" applyFill="1" applyAlignment="1">
      <alignment/>
    </xf>
    <xf numFmtId="0" fontId="3" fillId="0" borderId="0" xfId="0" applyFont="1" applyFill="1" applyAlignment="1">
      <alignment horizontal="right"/>
    </xf>
    <xf numFmtId="0" fontId="0" fillId="0" borderId="0" xfId="0" applyFill="1" applyAlignment="1">
      <alignment vertical="center"/>
    </xf>
    <xf numFmtId="0" fontId="7" fillId="0" borderId="0" xfId="0" applyFont="1" applyFill="1" applyAlignment="1">
      <alignment horizontal="center" vertical="center"/>
    </xf>
    <xf numFmtId="0" fontId="10" fillId="33" borderId="18" xfId="0" applyFont="1" applyFill="1" applyBorder="1" applyAlignment="1">
      <alignment horizontal="center" vertical="center"/>
    </xf>
    <xf numFmtId="0" fontId="10" fillId="33" borderId="19" xfId="0" applyFont="1" applyFill="1" applyBorder="1" applyAlignment="1">
      <alignment horizontal="center" vertical="center"/>
    </xf>
    <xf numFmtId="0" fontId="0" fillId="0" borderId="0" xfId="0" applyAlignment="1">
      <alignment readingOrder="2"/>
    </xf>
    <xf numFmtId="0" fontId="0" fillId="0" borderId="0" xfId="0" applyAlignment="1">
      <alignment horizontal="right" readingOrder="2"/>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0" fillId="0" borderId="0" xfId="0" applyAlignment="1">
      <alignment horizontal="center"/>
    </xf>
    <xf numFmtId="0" fontId="0" fillId="0" borderId="0" xfId="0" applyAlignment="1">
      <alignment horizontal="center" vertical="center"/>
    </xf>
    <xf numFmtId="0" fontId="0" fillId="0" borderId="0" xfId="0" applyBorder="1" applyAlignment="1">
      <alignment horizontal="center" vertical="center"/>
    </xf>
    <xf numFmtId="174" fontId="0" fillId="0" borderId="0" xfId="0" applyNumberFormat="1" applyAlignment="1">
      <alignment horizontal="center" vertical="center"/>
    </xf>
    <xf numFmtId="173" fontId="0" fillId="0" borderId="0" xfId="0" applyNumberFormat="1" applyAlignment="1">
      <alignment horizontal="center" vertical="center"/>
    </xf>
    <xf numFmtId="0" fontId="14" fillId="0" borderId="0" xfId="0" applyFont="1" applyAlignment="1">
      <alignment/>
    </xf>
    <xf numFmtId="2" fontId="0" fillId="0" borderId="0" xfId="0" applyNumberFormat="1" applyAlignment="1">
      <alignment/>
    </xf>
    <xf numFmtId="0" fontId="15" fillId="0" borderId="0" xfId="0" applyFont="1" applyAlignment="1">
      <alignment/>
    </xf>
    <xf numFmtId="2" fontId="15" fillId="0" borderId="0" xfId="0" applyNumberFormat="1" applyFont="1" applyAlignment="1">
      <alignment/>
    </xf>
    <xf numFmtId="0" fontId="0" fillId="0" borderId="0" xfId="0" applyAlignment="1">
      <alignment horizontal="center" vertical="center" wrapText="1"/>
    </xf>
    <xf numFmtId="0" fontId="16" fillId="0" borderId="0" xfId="0" applyFont="1" applyAlignment="1">
      <alignment/>
    </xf>
    <xf numFmtId="0" fontId="5" fillId="0" borderId="0" xfId="0" applyFont="1" applyAlignment="1">
      <alignment horizontal="left" vertical="center"/>
    </xf>
    <xf numFmtId="0" fontId="0" fillId="0" borderId="20" xfId="0" applyBorder="1" applyAlignment="1">
      <alignment vertical="center" wrapText="1"/>
    </xf>
    <xf numFmtId="0" fontId="7" fillId="0" borderId="21" xfId="0" applyFont="1" applyFill="1" applyBorder="1" applyAlignment="1">
      <alignment vertical="center"/>
    </xf>
    <xf numFmtId="0" fontId="20" fillId="0" borderId="22" xfId="0" applyFont="1" applyBorder="1" applyAlignment="1">
      <alignment vertical="center"/>
    </xf>
    <xf numFmtId="0" fontId="21" fillId="0" borderId="23" xfId="0" applyFont="1" applyBorder="1" applyAlignment="1">
      <alignment vertical="center" wrapText="1"/>
    </xf>
    <xf numFmtId="0" fontId="21" fillId="0" borderId="23" xfId="0" applyFont="1" applyBorder="1" applyAlignment="1">
      <alignment vertical="center"/>
    </xf>
    <xf numFmtId="1" fontId="21" fillId="0" borderId="18" xfId="0" applyNumberFormat="1" applyFont="1" applyBorder="1" applyAlignment="1">
      <alignment horizontal="center" vertical="center" wrapText="1"/>
    </xf>
    <xf numFmtId="0" fontId="21" fillId="0" borderId="24" xfId="0" applyFont="1" applyBorder="1" applyAlignment="1">
      <alignment vertical="center"/>
    </xf>
    <xf numFmtId="0" fontId="10" fillId="34" borderId="18" xfId="0" applyFont="1" applyFill="1" applyBorder="1" applyAlignment="1">
      <alignment horizontal="center" vertical="center"/>
    </xf>
    <xf numFmtId="3" fontId="10" fillId="34" borderId="18" xfId="0" applyNumberFormat="1" applyFont="1" applyFill="1" applyBorder="1" applyAlignment="1">
      <alignment horizontal="center" vertical="center"/>
    </xf>
    <xf numFmtId="174" fontId="10" fillId="34" borderId="18" xfId="0" applyNumberFormat="1" applyFont="1" applyFill="1" applyBorder="1" applyAlignment="1">
      <alignment horizontal="center" vertical="center"/>
    </xf>
    <xf numFmtId="0" fontId="10" fillId="34" borderId="19" xfId="0" applyFont="1" applyFill="1" applyBorder="1" applyAlignment="1">
      <alignment horizontal="center" vertical="center"/>
    </xf>
    <xf numFmtId="3" fontId="10" fillId="34" borderId="19" xfId="0" applyNumberFormat="1" applyFont="1" applyFill="1" applyBorder="1" applyAlignment="1">
      <alignment horizontal="center" vertical="center"/>
    </xf>
    <xf numFmtId="0" fontId="10" fillId="0" borderId="0" xfId="0" applyFont="1" applyAlignment="1">
      <alignment horizontal="right" vertical="center" wrapText="1"/>
    </xf>
    <xf numFmtId="0" fontId="0" fillId="0" borderId="11" xfId="0" applyFill="1" applyBorder="1" applyAlignment="1">
      <alignment horizontal="center" vertical="center" wrapText="1"/>
    </xf>
    <xf numFmtId="0" fontId="0" fillId="0" borderId="25" xfId="0" applyFill="1" applyBorder="1" applyAlignment="1">
      <alignment horizontal="center" vertical="center" wrapText="1"/>
    </xf>
    <xf numFmtId="0" fontId="3" fillId="0" borderId="13" xfId="0" applyFont="1" applyFill="1" applyBorder="1" applyAlignment="1">
      <alignment horizontal="center" vertical="center"/>
    </xf>
    <xf numFmtId="0" fontId="3" fillId="0" borderId="26" xfId="0" applyFont="1" applyFill="1" applyBorder="1" applyAlignment="1">
      <alignment horizontal="center" vertical="center"/>
    </xf>
    <xf numFmtId="1" fontId="10" fillId="34" borderId="18" xfId="0" applyNumberFormat="1" applyFont="1" applyFill="1" applyBorder="1" applyAlignment="1" applyProtection="1">
      <alignment horizontal="center" vertical="center"/>
      <protection hidden="1"/>
    </xf>
    <xf numFmtId="172" fontId="10" fillId="34" borderId="27" xfId="0" applyNumberFormat="1" applyFont="1" applyFill="1" applyBorder="1" applyAlignment="1" applyProtection="1">
      <alignment horizontal="center" vertical="center"/>
      <protection hidden="1"/>
    </xf>
    <xf numFmtId="1" fontId="10" fillId="34" borderId="18" xfId="0" applyNumberFormat="1" applyFont="1" applyFill="1" applyBorder="1" applyAlignment="1" applyProtection="1">
      <alignment horizontal="center" vertical="center" wrapText="1"/>
      <protection hidden="1"/>
    </xf>
    <xf numFmtId="1" fontId="10" fillId="34" borderId="19" xfId="0" applyNumberFormat="1" applyFont="1" applyFill="1" applyBorder="1" applyAlignment="1" applyProtection="1">
      <alignment horizontal="center" vertical="center"/>
      <protection hidden="1"/>
    </xf>
    <xf numFmtId="172" fontId="10" fillId="34" borderId="28" xfId="0" applyNumberFormat="1" applyFont="1" applyFill="1" applyBorder="1" applyAlignment="1" applyProtection="1">
      <alignment horizontal="center" vertical="center"/>
      <protection hidden="1"/>
    </xf>
    <xf numFmtId="172" fontId="7" fillId="0" borderId="29" xfId="0" applyNumberFormat="1" applyFont="1" applyFill="1" applyBorder="1" applyAlignment="1" applyProtection="1">
      <alignment horizontal="center" vertical="center"/>
      <protection hidden="1"/>
    </xf>
    <xf numFmtId="172" fontId="3" fillId="0" borderId="0" xfId="0" applyNumberFormat="1" applyFont="1" applyFill="1" applyAlignment="1" applyProtection="1">
      <alignment horizontal="center"/>
      <protection hidden="1"/>
    </xf>
    <xf numFmtId="0" fontId="0" fillId="0" borderId="0" xfId="0" applyAlignment="1" applyProtection="1">
      <alignment/>
      <protection hidden="1"/>
    </xf>
    <xf numFmtId="0" fontId="17" fillId="35" borderId="0" xfId="0" applyFont="1" applyFill="1" applyAlignment="1" applyProtection="1">
      <alignment horizontal="center"/>
      <protection hidden="1"/>
    </xf>
    <xf numFmtId="1" fontId="7" fillId="0" borderId="17" xfId="0" applyNumberFormat="1" applyFont="1" applyFill="1" applyBorder="1" applyAlignment="1" applyProtection="1">
      <alignment horizontal="center" vertical="center"/>
      <protection hidden="1"/>
    </xf>
    <xf numFmtId="1" fontId="7" fillId="0" borderId="0" xfId="0" applyNumberFormat="1" applyFont="1" applyFill="1" applyAlignment="1">
      <alignment horizontal="center" vertical="center"/>
    </xf>
    <xf numFmtId="4" fontId="3" fillId="0" borderId="0" xfId="0" applyNumberFormat="1" applyFont="1" applyFill="1" applyAlignment="1">
      <alignment horizontal="left"/>
    </xf>
    <xf numFmtId="0" fontId="17" fillId="35" borderId="0" xfId="0" applyFont="1" applyFill="1" applyAlignment="1" applyProtection="1">
      <alignment horizontal="right"/>
      <protection hidden="1"/>
    </xf>
    <xf numFmtId="0" fontId="63" fillId="0" borderId="0" xfId="0" applyFont="1" applyAlignment="1">
      <alignment horizontal="center"/>
    </xf>
    <xf numFmtId="0" fontId="17" fillId="35" borderId="0" xfId="0" applyFont="1" applyFill="1" applyAlignment="1" applyProtection="1">
      <alignment horizontal="center" readingOrder="2"/>
      <protection hidden="1"/>
    </xf>
    <xf numFmtId="0" fontId="5" fillId="0" borderId="0" xfId="0" applyFont="1" applyAlignment="1">
      <alignment vertical="center"/>
    </xf>
    <xf numFmtId="0" fontId="26" fillId="36" borderId="0" xfId="0" applyFont="1" applyFill="1" applyAlignment="1">
      <alignment horizontal="right" vertical="center" wrapText="1"/>
    </xf>
    <xf numFmtId="9" fontId="3" fillId="0" borderId="0" xfId="35" applyFont="1" applyFill="1" applyAlignment="1">
      <alignment/>
    </xf>
    <xf numFmtId="4" fontId="3" fillId="0" borderId="0" xfId="0" applyNumberFormat="1" applyFont="1" applyFill="1" applyAlignment="1" applyProtection="1">
      <alignment horizontal="center"/>
      <protection hidden="1"/>
    </xf>
    <xf numFmtId="2" fontId="7" fillId="0" borderId="0" xfId="0" applyNumberFormat="1" applyFont="1" applyFill="1" applyAlignment="1">
      <alignment horizontal="center" vertical="center"/>
    </xf>
    <xf numFmtId="0" fontId="0" fillId="0" borderId="0" xfId="0" applyFont="1" applyBorder="1" applyAlignment="1">
      <alignment vertical="center" wrapText="1"/>
    </xf>
    <xf numFmtId="0" fontId="17" fillId="35" borderId="0" xfId="0" applyFont="1" applyFill="1" applyAlignment="1" applyProtection="1">
      <alignment horizontal="center" vertical="center"/>
      <protection hidden="1"/>
    </xf>
    <xf numFmtId="0" fontId="17" fillId="35" borderId="0" xfId="0" applyFont="1" applyFill="1" applyAlignment="1" applyProtection="1">
      <alignment horizontal="center" vertical="center" readingOrder="2"/>
      <protection hidden="1"/>
    </xf>
    <xf numFmtId="0" fontId="9" fillId="0" borderId="0" xfId="0" applyFont="1" applyAlignment="1">
      <alignment vertical="center"/>
    </xf>
    <xf numFmtId="0" fontId="0" fillId="0" borderId="0" xfId="0" applyAlignment="1" applyProtection="1">
      <alignment vertical="center"/>
      <protection hidden="1"/>
    </xf>
    <xf numFmtId="0" fontId="17" fillId="35" borderId="0" xfId="0" applyFont="1" applyFill="1" applyAlignment="1" applyProtection="1">
      <alignment horizontal="right" vertical="center"/>
      <protection hidden="1"/>
    </xf>
    <xf numFmtId="4" fontId="7" fillId="0" borderId="29" xfId="0" applyNumberFormat="1" applyFont="1" applyFill="1" applyBorder="1" applyAlignment="1" applyProtection="1">
      <alignment horizontal="center" vertical="center"/>
      <protection hidden="1"/>
    </xf>
    <xf numFmtId="0" fontId="10" fillId="33" borderId="18" xfId="0" applyFont="1" applyFill="1" applyBorder="1" applyAlignment="1" applyProtection="1">
      <alignment horizontal="center" vertical="center"/>
      <protection/>
    </xf>
    <xf numFmtId="0" fontId="6" fillId="0" borderId="0" xfId="0" applyFont="1" applyAlignment="1">
      <alignment horizontal="center"/>
    </xf>
    <xf numFmtId="0" fontId="10" fillId="0" borderId="0" xfId="0" applyFont="1" applyFill="1" applyAlignment="1">
      <alignment horizontal="center" vertical="center" wrapText="1"/>
    </xf>
    <xf numFmtId="0" fontId="1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ill="1" applyAlignment="1">
      <alignment horizontal="center" vertical="center" wrapText="1"/>
    </xf>
    <xf numFmtId="0" fontId="9" fillId="0" borderId="0" xfId="0" applyFont="1" applyAlignment="1">
      <alignment horizontal="right" vertical="center" wrapText="1"/>
    </xf>
    <xf numFmtId="0" fontId="24" fillId="0" borderId="0" xfId="0" applyFont="1" applyFill="1" applyAlignment="1">
      <alignment horizontal="center" vertical="center" wrapText="1"/>
    </xf>
    <xf numFmtId="0" fontId="24" fillId="0" borderId="0" xfId="0" applyFont="1" applyFill="1" applyAlignment="1">
      <alignment horizontal="center" vertical="center"/>
    </xf>
    <xf numFmtId="172" fontId="9" fillId="36" borderId="0" xfId="0" applyNumberFormat="1" applyFont="1" applyFill="1" applyAlignment="1" applyProtection="1">
      <alignment horizontal="center" wrapText="1"/>
      <protection hidden="1"/>
    </xf>
    <xf numFmtId="0" fontId="9" fillId="0" borderId="30" xfId="0" applyFont="1" applyBorder="1" applyAlignment="1">
      <alignment horizontal="center"/>
    </xf>
    <xf numFmtId="0" fontId="9" fillId="0" borderId="31" xfId="0" applyFont="1" applyBorder="1" applyAlignment="1">
      <alignment horizontal="center"/>
    </xf>
    <xf numFmtId="0" fontId="9" fillId="0" borderId="32" xfId="0" applyFont="1" applyBorder="1" applyAlignment="1">
      <alignment horizontal="center"/>
    </xf>
    <xf numFmtId="0" fontId="18" fillId="37" borderId="0" xfId="0" applyFont="1" applyFill="1" applyAlignment="1">
      <alignment horizontal="center" vertical="center"/>
    </xf>
    <xf numFmtId="0" fontId="64" fillId="0" borderId="0" xfId="0" applyFont="1" applyAlignment="1">
      <alignment horizontal="center" vertical="center" wrapText="1" readingOrder="2"/>
    </xf>
    <xf numFmtId="0" fontId="23" fillId="0" borderId="0" xfId="0" applyFont="1" applyFill="1" applyAlignment="1">
      <alignment horizontal="right" vertical="center" wrapText="1"/>
    </xf>
    <xf numFmtId="0" fontId="23" fillId="0" borderId="0" xfId="0" applyFont="1" applyFill="1" applyAlignment="1">
      <alignment horizontal="right" vertical="center"/>
    </xf>
    <xf numFmtId="0" fontId="6" fillId="0" borderId="0" xfId="0" applyFont="1" applyAlignment="1">
      <alignment horizontal="center"/>
    </xf>
    <xf numFmtId="0" fontId="22" fillId="0" borderId="0" xfId="0" applyFont="1" applyFill="1" applyAlignment="1">
      <alignment horizontal="center" vertical="center" wrapText="1"/>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0</xdr:row>
      <xdr:rowOff>85725</xdr:rowOff>
    </xdr:from>
    <xdr:to>
      <xdr:col>7</xdr:col>
      <xdr:colOff>685800</xdr:colOff>
      <xdr:row>0</xdr:row>
      <xdr:rowOff>495300</xdr:rowOff>
    </xdr:to>
    <xdr:pic>
      <xdr:nvPicPr>
        <xdr:cNvPr id="1" name="Picture 1" descr="header"/>
        <xdr:cNvPicPr preferRelativeResize="1">
          <a:picLocks noChangeAspect="1"/>
        </xdr:cNvPicPr>
      </xdr:nvPicPr>
      <xdr:blipFill>
        <a:blip r:embed="rId1"/>
        <a:stretch>
          <a:fillRect/>
        </a:stretch>
      </xdr:blipFill>
      <xdr:spPr>
        <a:xfrm>
          <a:off x="7981950" y="85725"/>
          <a:ext cx="2352675"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0</xdr:row>
      <xdr:rowOff>85725</xdr:rowOff>
    </xdr:from>
    <xdr:to>
      <xdr:col>7</xdr:col>
      <xdr:colOff>685800</xdr:colOff>
      <xdr:row>0</xdr:row>
      <xdr:rowOff>495300</xdr:rowOff>
    </xdr:to>
    <xdr:pic>
      <xdr:nvPicPr>
        <xdr:cNvPr id="1" name="Picture 1" descr="header"/>
        <xdr:cNvPicPr preferRelativeResize="1">
          <a:picLocks noChangeAspect="1"/>
        </xdr:cNvPicPr>
      </xdr:nvPicPr>
      <xdr:blipFill>
        <a:blip r:embed="rId1"/>
        <a:stretch>
          <a:fillRect/>
        </a:stretch>
      </xdr:blipFill>
      <xdr:spPr>
        <a:xfrm>
          <a:off x="7981950" y="85725"/>
          <a:ext cx="2352675" cy="409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0</xdr:row>
      <xdr:rowOff>85725</xdr:rowOff>
    </xdr:from>
    <xdr:to>
      <xdr:col>7</xdr:col>
      <xdr:colOff>685800</xdr:colOff>
      <xdr:row>0</xdr:row>
      <xdr:rowOff>495300</xdr:rowOff>
    </xdr:to>
    <xdr:pic>
      <xdr:nvPicPr>
        <xdr:cNvPr id="1" name="Picture 1" descr="header"/>
        <xdr:cNvPicPr preferRelativeResize="1">
          <a:picLocks noChangeAspect="1"/>
        </xdr:cNvPicPr>
      </xdr:nvPicPr>
      <xdr:blipFill>
        <a:blip r:embed="rId1"/>
        <a:stretch>
          <a:fillRect/>
        </a:stretch>
      </xdr:blipFill>
      <xdr:spPr>
        <a:xfrm>
          <a:off x="7981950" y="85725"/>
          <a:ext cx="2352675" cy="409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0</xdr:row>
      <xdr:rowOff>85725</xdr:rowOff>
    </xdr:from>
    <xdr:to>
      <xdr:col>7</xdr:col>
      <xdr:colOff>685800</xdr:colOff>
      <xdr:row>0</xdr:row>
      <xdr:rowOff>495300</xdr:rowOff>
    </xdr:to>
    <xdr:pic>
      <xdr:nvPicPr>
        <xdr:cNvPr id="1" name="Picture 1" descr="header"/>
        <xdr:cNvPicPr preferRelativeResize="1">
          <a:picLocks noChangeAspect="1"/>
        </xdr:cNvPicPr>
      </xdr:nvPicPr>
      <xdr:blipFill>
        <a:blip r:embed="rId1"/>
        <a:stretch>
          <a:fillRect/>
        </a:stretch>
      </xdr:blipFill>
      <xdr:spPr>
        <a:xfrm>
          <a:off x="7981950" y="85725"/>
          <a:ext cx="2352675"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0</xdr:row>
      <xdr:rowOff>85725</xdr:rowOff>
    </xdr:from>
    <xdr:to>
      <xdr:col>7</xdr:col>
      <xdr:colOff>685800</xdr:colOff>
      <xdr:row>0</xdr:row>
      <xdr:rowOff>495300</xdr:rowOff>
    </xdr:to>
    <xdr:pic>
      <xdr:nvPicPr>
        <xdr:cNvPr id="1" name="Picture 1" descr="header"/>
        <xdr:cNvPicPr preferRelativeResize="1">
          <a:picLocks noChangeAspect="1"/>
        </xdr:cNvPicPr>
      </xdr:nvPicPr>
      <xdr:blipFill>
        <a:blip r:embed="rId1"/>
        <a:stretch>
          <a:fillRect/>
        </a:stretch>
      </xdr:blipFill>
      <xdr:spPr>
        <a:xfrm>
          <a:off x="7981950" y="85725"/>
          <a:ext cx="2352675"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1"/>
  <sheetViews>
    <sheetView rightToLeft="1" zoomScalePageLayoutView="0" workbookViewId="0" topLeftCell="A1">
      <selection activeCell="D53" sqref="D53"/>
    </sheetView>
  </sheetViews>
  <sheetFormatPr defaultColWidth="9.140625" defaultRowHeight="12.75"/>
  <cols>
    <col min="1" max="16384" width="9.140625" style="26" customWidth="1"/>
  </cols>
  <sheetData>
    <row r="1" ht="12">
      <c r="A1" s="26" t="s">
        <v>35</v>
      </c>
    </row>
    <row r="2" ht="12">
      <c r="A2" s="27" t="s">
        <v>36</v>
      </c>
    </row>
    <row r="3" ht="12">
      <c r="A3" s="27" t="s">
        <v>37</v>
      </c>
    </row>
    <row r="4" ht="12">
      <c r="A4" s="27" t="s">
        <v>38</v>
      </c>
    </row>
    <row r="5" ht="12">
      <c r="A5" s="27" t="s">
        <v>39</v>
      </c>
    </row>
    <row r="6" ht="12">
      <c r="A6" s="27"/>
    </row>
    <row r="7" ht="12">
      <c r="A7" s="27"/>
    </row>
    <row r="8" ht="12">
      <c r="A8" s="27"/>
    </row>
    <row r="9" ht="12">
      <c r="A9" s="27"/>
    </row>
    <row r="10" ht="12">
      <c r="A10" s="27"/>
    </row>
    <row r="11" ht="12">
      <c r="A11" s="27"/>
    </row>
    <row r="12" ht="12">
      <c r="A12" s="27"/>
    </row>
    <row r="13" ht="12">
      <c r="A13" s="27"/>
    </row>
    <row r="14" ht="12">
      <c r="A14" s="27"/>
    </row>
    <row r="15" ht="12">
      <c r="A15" s="27"/>
    </row>
    <row r="16" ht="12">
      <c r="A16" s="27"/>
    </row>
    <row r="17" ht="12">
      <c r="A17" s="27"/>
    </row>
    <row r="18" ht="12">
      <c r="A18" s="27"/>
    </row>
    <row r="19" ht="12">
      <c r="A19" s="27"/>
    </row>
    <row r="20" ht="12">
      <c r="A20" s="27"/>
    </row>
    <row r="21" ht="12">
      <c r="A21" s="27"/>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2:I72"/>
  <sheetViews>
    <sheetView rightToLeft="1" view="pageBreakPreview" zoomScale="75" zoomScaleSheetLayoutView="75" zoomScalePageLayoutView="0" workbookViewId="0" topLeftCell="A68">
      <selection activeCell="A68" sqref="A68:H68"/>
    </sheetView>
  </sheetViews>
  <sheetFormatPr defaultColWidth="9.140625" defaultRowHeight="12.75"/>
  <cols>
    <col min="1" max="1" width="38.140625" style="0" customWidth="1"/>
    <col min="2" max="2" width="24.57421875" style="0" customWidth="1"/>
    <col min="3" max="3" width="12.140625" style="0" customWidth="1"/>
    <col min="4" max="4" width="18.00390625" style="0" customWidth="1"/>
    <col min="5" max="5" width="18.8515625" style="0" customWidth="1"/>
    <col min="6" max="6" width="17.421875" style="0" customWidth="1"/>
    <col min="7" max="7" width="15.57421875" style="0" customWidth="1"/>
    <col min="8" max="8" width="15.00390625" style="0" customWidth="1"/>
    <col min="9" max="9" width="10.8515625" style="0" customWidth="1"/>
  </cols>
  <sheetData>
    <row r="1" ht="46.5" customHeight="1"/>
    <row r="2" spans="1:7" s="3" customFormat="1" ht="66.75" customHeight="1">
      <c r="A2" s="54"/>
      <c r="B2" s="54"/>
      <c r="C2" s="54"/>
      <c r="F2" s="41" t="s">
        <v>106</v>
      </c>
      <c r="G2" s="6" t="s">
        <v>150</v>
      </c>
    </row>
    <row r="3" spans="1:7" ht="24.75">
      <c r="A3" s="87" t="s">
        <v>31</v>
      </c>
      <c r="B3" s="87"/>
      <c r="C3" s="87"/>
      <c r="D3" s="87"/>
      <c r="E3" s="87"/>
      <c r="F3" s="87"/>
      <c r="G3" s="87"/>
    </row>
    <row r="4" spans="1:2" ht="18" thickBot="1">
      <c r="A4" s="7"/>
      <c r="B4" s="7"/>
    </row>
    <row r="5" spans="1:7" ht="20.25" thickBot="1">
      <c r="A5" s="96" t="s">
        <v>23</v>
      </c>
      <c r="B5" s="97"/>
      <c r="C5" s="97"/>
      <c r="D5" s="97"/>
      <c r="E5" s="97"/>
      <c r="F5" s="97"/>
      <c r="G5" s="98"/>
    </row>
    <row r="6" spans="1:7" s="3" customFormat="1" ht="53.25" customHeight="1" thickBot="1">
      <c r="A6" s="1" t="s">
        <v>0</v>
      </c>
      <c r="B6" s="42"/>
      <c r="C6" s="2" t="s">
        <v>2</v>
      </c>
      <c r="D6" s="55" t="s">
        <v>1</v>
      </c>
      <c r="E6" s="55" t="s">
        <v>12</v>
      </c>
      <c r="F6" s="55" t="s">
        <v>14</v>
      </c>
      <c r="G6" s="56" t="s">
        <v>3</v>
      </c>
    </row>
    <row r="7" spans="1:7" s="3" customFormat="1" ht="19.5">
      <c r="A7" s="4"/>
      <c r="B7" s="44"/>
      <c r="C7" s="5" t="s">
        <v>7</v>
      </c>
      <c r="D7" s="57" t="s">
        <v>6</v>
      </c>
      <c r="E7" s="57" t="s">
        <v>5</v>
      </c>
      <c r="F7" s="57" t="s">
        <v>4</v>
      </c>
      <c r="G7" s="58" t="s">
        <v>10</v>
      </c>
    </row>
    <row r="8" spans="1:7" s="3" customFormat="1" ht="30.75">
      <c r="A8" s="9" t="s">
        <v>13</v>
      </c>
      <c r="B8" s="45"/>
      <c r="C8" s="24">
        <v>0</v>
      </c>
      <c r="D8" s="49">
        <v>2.3</v>
      </c>
      <c r="E8" s="50">
        <v>2600</v>
      </c>
      <c r="F8" s="59">
        <f>0.5*C8*0.01*E8</f>
        <v>0</v>
      </c>
      <c r="G8" s="60">
        <f>C8*0.01/D8</f>
        <v>0</v>
      </c>
    </row>
    <row r="9" spans="1:7" s="3" customFormat="1" ht="15">
      <c r="A9" s="9" t="s">
        <v>66</v>
      </c>
      <c r="B9" s="45"/>
      <c r="C9" s="24">
        <v>0</v>
      </c>
      <c r="D9" s="49">
        <v>1.4</v>
      </c>
      <c r="E9" s="50">
        <v>2000</v>
      </c>
      <c r="F9" s="59">
        <f>0.5*C9*0.01*E9</f>
        <v>0</v>
      </c>
      <c r="G9" s="60">
        <f>C9*0.01/D9</f>
        <v>0</v>
      </c>
    </row>
    <row r="10" spans="1:7" s="3" customFormat="1" ht="15">
      <c r="A10" s="9" t="s">
        <v>29</v>
      </c>
      <c r="B10" s="45"/>
      <c r="C10" s="24">
        <v>1.5</v>
      </c>
      <c r="D10" s="49">
        <v>0.87</v>
      </c>
      <c r="E10" s="50">
        <v>1800</v>
      </c>
      <c r="F10" s="59">
        <f>0.5*C10*0.01*E10</f>
        <v>13.5</v>
      </c>
      <c r="G10" s="60">
        <f>C10*0.01/D10</f>
        <v>0.017241379310344827</v>
      </c>
    </row>
    <row r="11" spans="1:7" s="3" customFormat="1" ht="15">
      <c r="A11" s="9" t="s">
        <v>15</v>
      </c>
      <c r="B11" s="45"/>
      <c r="C11" s="24">
        <v>0</v>
      </c>
      <c r="D11" s="49">
        <v>1.4</v>
      </c>
      <c r="E11" s="50">
        <v>2000</v>
      </c>
      <c r="F11" s="59">
        <f>0.5*C11*0.01*E11</f>
        <v>0</v>
      </c>
      <c r="G11" s="60">
        <f>C11*0.01/D11</f>
        <v>0</v>
      </c>
    </row>
    <row r="12" spans="1:7" s="3" customFormat="1" ht="15">
      <c r="A12" s="9" t="s">
        <v>25</v>
      </c>
      <c r="B12" s="45"/>
      <c r="C12" s="24">
        <v>20</v>
      </c>
      <c r="D12" s="49">
        <v>2.1</v>
      </c>
      <c r="E12" s="50">
        <v>2400</v>
      </c>
      <c r="F12" s="59">
        <f>0.5*C12*0.01*E12</f>
        <v>240</v>
      </c>
      <c r="G12" s="60">
        <f>C12*0.01/D12</f>
        <v>0.09523809523809523</v>
      </c>
    </row>
    <row r="13" spans="1:7" s="3" customFormat="1" ht="27.75" customHeight="1">
      <c r="A13" s="9" t="s">
        <v>107</v>
      </c>
      <c r="B13" s="45"/>
      <c r="C13" s="24">
        <v>0</v>
      </c>
      <c r="D13" s="49" t="s">
        <v>67</v>
      </c>
      <c r="E13" s="50">
        <v>0</v>
      </c>
      <c r="F13" s="59">
        <f aca="true" t="shared" si="0" ref="F13:F19">C13*0.01*E13</f>
        <v>0</v>
      </c>
      <c r="G13" s="60">
        <f>IF(C13&lt;1.3,0,IF(C13&lt;2,0.15,0.16))</f>
        <v>0</v>
      </c>
    </row>
    <row r="14" spans="1:7" s="3" customFormat="1" ht="30.75">
      <c r="A14" s="9" t="s">
        <v>108</v>
      </c>
      <c r="B14" s="45"/>
      <c r="C14" s="24">
        <v>2</v>
      </c>
      <c r="D14" s="49">
        <v>0.04</v>
      </c>
      <c r="E14" s="50">
        <v>30</v>
      </c>
      <c r="F14" s="59">
        <f t="shared" si="0"/>
        <v>0.6</v>
      </c>
      <c r="G14" s="60">
        <f aca="true" t="shared" si="1" ref="G14:G35">C14*0.01/D14</f>
        <v>0.5</v>
      </c>
    </row>
    <row r="15" spans="1:7" s="3" customFormat="1" ht="30.75">
      <c r="A15" s="9" t="s">
        <v>109</v>
      </c>
      <c r="B15" s="45"/>
      <c r="C15" s="24">
        <v>0</v>
      </c>
      <c r="D15" s="49">
        <v>0.032</v>
      </c>
      <c r="E15" s="50">
        <v>30</v>
      </c>
      <c r="F15" s="59">
        <f t="shared" si="0"/>
        <v>0</v>
      </c>
      <c r="G15" s="60">
        <f>C15*0.01/D15</f>
        <v>0</v>
      </c>
    </row>
    <row r="16" spans="1:7" s="3" customFormat="1" ht="15">
      <c r="A16" s="9" t="s">
        <v>110</v>
      </c>
      <c r="B16" s="45"/>
      <c r="C16" s="24">
        <v>0</v>
      </c>
      <c r="D16" s="49">
        <v>0.03</v>
      </c>
      <c r="E16" s="50">
        <v>27</v>
      </c>
      <c r="F16" s="59">
        <f t="shared" si="0"/>
        <v>0</v>
      </c>
      <c r="G16" s="60">
        <f>C16*0.01/D16</f>
        <v>0</v>
      </c>
    </row>
    <row r="17" spans="1:7" s="3" customFormat="1" ht="15">
      <c r="A17" s="10" t="s">
        <v>68</v>
      </c>
      <c r="B17" s="46"/>
      <c r="C17" s="24">
        <v>0</v>
      </c>
      <c r="D17" s="49">
        <v>0.04</v>
      </c>
      <c r="E17" s="50">
        <v>25</v>
      </c>
      <c r="F17" s="59">
        <f t="shared" si="0"/>
        <v>0</v>
      </c>
      <c r="G17" s="60">
        <f t="shared" si="1"/>
        <v>0</v>
      </c>
    </row>
    <row r="18" spans="1:7" s="3" customFormat="1" ht="15">
      <c r="A18" s="10" t="s">
        <v>69</v>
      </c>
      <c r="B18" s="46"/>
      <c r="C18" s="24">
        <v>0</v>
      </c>
      <c r="D18" s="49">
        <v>0.21</v>
      </c>
      <c r="E18" s="50">
        <v>900</v>
      </c>
      <c r="F18" s="59">
        <f t="shared" si="0"/>
        <v>0</v>
      </c>
      <c r="G18" s="60">
        <f t="shared" si="1"/>
        <v>0</v>
      </c>
    </row>
    <row r="19" spans="1:7" s="3" customFormat="1" ht="15">
      <c r="A19" s="10" t="s">
        <v>70</v>
      </c>
      <c r="B19" s="46"/>
      <c r="C19" s="24">
        <v>0</v>
      </c>
      <c r="D19" s="49">
        <v>0.58</v>
      </c>
      <c r="E19" s="50">
        <v>2000</v>
      </c>
      <c r="F19" s="59">
        <f t="shared" si="0"/>
        <v>0</v>
      </c>
      <c r="G19" s="60">
        <f t="shared" si="1"/>
        <v>0</v>
      </c>
    </row>
    <row r="20" spans="1:7" s="3" customFormat="1" ht="15">
      <c r="A20" s="10" t="s">
        <v>143</v>
      </c>
      <c r="B20" s="46" t="s">
        <v>144</v>
      </c>
      <c r="C20" s="24">
        <v>0</v>
      </c>
      <c r="D20" s="49">
        <v>0.09</v>
      </c>
      <c r="E20" s="50">
        <v>220</v>
      </c>
      <c r="F20" s="59">
        <f aca="true" t="shared" si="2" ref="F20:F25">1.04*C20*0.01*E20</f>
        <v>0</v>
      </c>
      <c r="G20" s="60">
        <f>C20*0.01/D20</f>
        <v>0</v>
      </c>
    </row>
    <row r="21" spans="1:7" s="3" customFormat="1" ht="15">
      <c r="A21" s="10" t="s">
        <v>71</v>
      </c>
      <c r="B21" s="46"/>
      <c r="C21" s="24">
        <v>0</v>
      </c>
      <c r="D21" s="49">
        <v>0.12</v>
      </c>
      <c r="E21" s="50">
        <v>335</v>
      </c>
      <c r="F21" s="59">
        <f t="shared" si="2"/>
        <v>0</v>
      </c>
      <c r="G21" s="60">
        <f t="shared" si="1"/>
        <v>0</v>
      </c>
    </row>
    <row r="22" spans="1:7" s="3" customFormat="1" ht="15">
      <c r="A22" s="10" t="s">
        <v>24</v>
      </c>
      <c r="B22" s="46"/>
      <c r="C22" s="24">
        <v>0</v>
      </c>
      <c r="D22" s="49">
        <v>0.14</v>
      </c>
      <c r="E22" s="50">
        <v>400</v>
      </c>
      <c r="F22" s="59">
        <f t="shared" si="2"/>
        <v>0</v>
      </c>
      <c r="G22" s="60">
        <f t="shared" si="1"/>
        <v>0</v>
      </c>
    </row>
    <row r="23" spans="1:7" s="3" customFormat="1" ht="15">
      <c r="A23" s="10" t="s">
        <v>22</v>
      </c>
      <c r="B23" s="46"/>
      <c r="C23" s="24">
        <v>0</v>
      </c>
      <c r="D23" s="49">
        <v>0.15</v>
      </c>
      <c r="E23" s="50">
        <v>475</v>
      </c>
      <c r="F23" s="59">
        <f t="shared" si="2"/>
        <v>0</v>
      </c>
      <c r="G23" s="60">
        <f t="shared" si="1"/>
        <v>0</v>
      </c>
    </row>
    <row r="24" spans="1:7" s="3" customFormat="1" ht="15">
      <c r="A24" s="10" t="s">
        <v>98</v>
      </c>
      <c r="B24" s="46"/>
      <c r="C24" s="24">
        <v>0</v>
      </c>
      <c r="D24" s="49">
        <v>0.16</v>
      </c>
      <c r="E24" s="50">
        <v>535</v>
      </c>
      <c r="F24" s="59">
        <f t="shared" si="2"/>
        <v>0</v>
      </c>
      <c r="G24" s="60">
        <f t="shared" si="1"/>
        <v>0</v>
      </c>
    </row>
    <row r="25" spans="1:7" s="3" customFormat="1" ht="15">
      <c r="A25" s="10" t="s">
        <v>99</v>
      </c>
      <c r="B25" s="46"/>
      <c r="C25" s="24">
        <v>0</v>
      </c>
      <c r="D25" s="49">
        <v>0.19</v>
      </c>
      <c r="E25" s="50">
        <v>600</v>
      </c>
      <c r="F25" s="59">
        <f t="shared" si="2"/>
        <v>0</v>
      </c>
      <c r="G25" s="60">
        <f t="shared" si="1"/>
        <v>0</v>
      </c>
    </row>
    <row r="26" spans="1:7" s="3" customFormat="1" ht="47.25">
      <c r="A26" s="9" t="s">
        <v>113</v>
      </c>
      <c r="B26" s="47" t="str">
        <f>IF(C26=0," ",IF(C26&lt;&gt;22,"עובי הבלוק האפשרי 
הינו 22 סמ' בלבד"," "))</f>
        <v> </v>
      </c>
      <c r="C26" s="24">
        <v>0</v>
      </c>
      <c r="D26" s="51">
        <f>0.22/0.93</f>
        <v>0.23655913978494622</v>
      </c>
      <c r="E26" s="50">
        <v>860</v>
      </c>
      <c r="F26" s="61">
        <f>IF(C26=0,C26*0.01*E26,IF(C26&lt;&gt;22,1/0,C26*0.01*E26))</f>
        <v>0</v>
      </c>
      <c r="G26" s="60">
        <f>IF(C26=22,C26*0.01/D26,0)</f>
        <v>0</v>
      </c>
    </row>
    <row r="27" spans="1:7" s="3" customFormat="1" ht="40.5" customHeight="1">
      <c r="A27" s="9" t="s">
        <v>111</v>
      </c>
      <c r="B27" s="47" t="str">
        <f>IF(C27=0," ",IF(C27&lt;&gt;20,"עובי הבלוק האפשרי 
הינו 20 סמ' בלבד"," "))</f>
        <v> </v>
      </c>
      <c r="C27" s="24">
        <v>0</v>
      </c>
      <c r="D27" s="51">
        <f>0.2/0.88</f>
        <v>0.2272727272727273</v>
      </c>
      <c r="E27" s="50">
        <v>745</v>
      </c>
      <c r="F27" s="61">
        <f>IF(C27=0,C27*0.01*E27,IF(C27&lt;&gt;20,1/0,C27*0.01*E27))</f>
        <v>0</v>
      </c>
      <c r="G27" s="60">
        <f>IF(C27=20,C27*0.01/D27,0)</f>
        <v>0</v>
      </c>
    </row>
    <row r="28" spans="1:7" s="3" customFormat="1" ht="42" customHeight="1">
      <c r="A28" s="9" t="s">
        <v>112</v>
      </c>
      <c r="B28" s="47" t="str">
        <f>IF(C28=0," ",IF(C28&lt;&gt;22,"עובי הבלוק האפשרי 
הינו 22 סמ' בלבד"," "))</f>
        <v> </v>
      </c>
      <c r="C28" s="24">
        <v>0</v>
      </c>
      <c r="D28" s="51">
        <f>0.22/0.88</f>
        <v>0.25</v>
      </c>
      <c r="E28" s="50">
        <v>795</v>
      </c>
      <c r="F28" s="61">
        <f>IF(C28=0,C28*0.01*E28,IF(C28&lt;&gt;22,1/0,C28*0.01*E28))</f>
        <v>0</v>
      </c>
      <c r="G28" s="60">
        <f>IF(C28=22,C28*0.01/D28,0)</f>
        <v>0</v>
      </c>
    </row>
    <row r="29" spans="1:7" s="3" customFormat="1" ht="42" customHeight="1">
      <c r="A29" s="9" t="s">
        <v>114</v>
      </c>
      <c r="B29" s="47" t="str">
        <f>IF(C29=0," ",IF(C29&lt;&gt;22,"עובי הבלוק האפשרי 
הינו 22 סמ' בלבד"," "))</f>
        <v> </v>
      </c>
      <c r="C29" s="24">
        <v>0</v>
      </c>
      <c r="D29" s="51">
        <f>0.22/0.78</f>
        <v>0.28205128205128205</v>
      </c>
      <c r="E29" s="50">
        <v>848</v>
      </c>
      <c r="F29" s="61">
        <f>IF(C29=0,C29*0.01*E29,IF(C29&lt;&gt;22,1/0,C29*0.01*E29))</f>
        <v>0</v>
      </c>
      <c r="G29" s="60">
        <f>IF(C29=22,C29*0.01/D29,0)</f>
        <v>0</v>
      </c>
    </row>
    <row r="30" spans="1:7" s="3" customFormat="1" ht="42" customHeight="1">
      <c r="A30" s="9" t="s">
        <v>115</v>
      </c>
      <c r="B30" s="47" t="str">
        <f>IF(C30=0," ",IF(C30&lt;&gt;20,"עובי הבלוק האפשרי 
הינו 20 סמ' בלבד"," "))</f>
        <v> </v>
      </c>
      <c r="C30" s="24">
        <v>0</v>
      </c>
      <c r="D30" s="51">
        <f>0.2/0.73</f>
        <v>0.27397260273972607</v>
      </c>
      <c r="E30" s="50">
        <v>825</v>
      </c>
      <c r="F30" s="61">
        <f>IF(C30=0,C30*0.01*E30,IF(C30&lt;&gt;20,1/0,C30*0.01*E30))</f>
        <v>0</v>
      </c>
      <c r="G30" s="60">
        <f>IF(C30=20,C30*0.01/D30,0)</f>
        <v>0</v>
      </c>
    </row>
    <row r="31" spans="1:7" s="3" customFormat="1" ht="16.5">
      <c r="A31" s="10" t="s">
        <v>116</v>
      </c>
      <c r="B31" s="47" t="str">
        <f>IF(C31=0," ",IF(C31&lt;&gt;25,"עובי הבלוק האפשרי 
הינו 25 סמ' בלבד"," "))</f>
        <v> </v>
      </c>
      <c r="C31" s="24">
        <v>0</v>
      </c>
      <c r="D31" s="51">
        <f>0.25/2.9</f>
        <v>0.08620689655172414</v>
      </c>
      <c r="E31" s="50">
        <f>(14/25)*850</f>
        <v>476.00000000000006</v>
      </c>
      <c r="F31" s="61">
        <f>IF(C31=0,C31*0.01*E31,IF(C31&lt;&gt;25,1/0,C31*0.01*E31))</f>
        <v>0</v>
      </c>
      <c r="G31" s="60">
        <f t="shared" si="1"/>
        <v>0</v>
      </c>
    </row>
    <row r="32" spans="1:7" s="3" customFormat="1" ht="15">
      <c r="A32" s="10" t="s">
        <v>74</v>
      </c>
      <c r="B32" s="46"/>
      <c r="C32" s="24">
        <v>0</v>
      </c>
      <c r="D32" s="51">
        <f>0.2/0.45</f>
        <v>0.4444444444444445</v>
      </c>
      <c r="E32" s="50">
        <v>1300</v>
      </c>
      <c r="F32" s="59">
        <f aca="true" t="shared" si="3" ref="F32:F44">C32*0.01*E32</f>
        <v>0</v>
      </c>
      <c r="G32" s="60">
        <f t="shared" si="1"/>
        <v>0</v>
      </c>
    </row>
    <row r="33" spans="1:7" s="3" customFormat="1" ht="15">
      <c r="A33" s="10" t="s">
        <v>100</v>
      </c>
      <c r="B33" s="46"/>
      <c r="C33" s="24">
        <v>0</v>
      </c>
      <c r="D33" s="51">
        <v>0.235</v>
      </c>
      <c r="E33" s="50">
        <v>780</v>
      </c>
      <c r="F33" s="59">
        <f t="shared" si="3"/>
        <v>0</v>
      </c>
      <c r="G33" s="60">
        <f t="shared" si="1"/>
        <v>0</v>
      </c>
    </row>
    <row r="34" spans="1:7" s="3" customFormat="1" ht="15">
      <c r="A34" s="9" t="s">
        <v>25</v>
      </c>
      <c r="B34" s="45"/>
      <c r="C34" s="24">
        <v>0</v>
      </c>
      <c r="D34" s="49">
        <v>2.1</v>
      </c>
      <c r="E34" s="50">
        <v>2400</v>
      </c>
      <c r="F34" s="59">
        <f t="shared" si="3"/>
        <v>0</v>
      </c>
      <c r="G34" s="60">
        <f t="shared" si="1"/>
        <v>0</v>
      </c>
    </row>
    <row r="35" spans="1:7" s="3" customFormat="1" ht="15">
      <c r="A35" s="10" t="s">
        <v>68</v>
      </c>
      <c r="B35" s="46"/>
      <c r="C35" s="24">
        <v>0</v>
      </c>
      <c r="D35" s="49">
        <v>0.04</v>
      </c>
      <c r="E35" s="50">
        <v>25</v>
      </c>
      <c r="F35" s="59">
        <f t="shared" si="3"/>
        <v>0</v>
      </c>
      <c r="G35" s="60">
        <f t="shared" si="1"/>
        <v>0</v>
      </c>
    </row>
    <row r="36" spans="1:7" s="3" customFormat="1" ht="30.75" customHeight="1">
      <c r="A36" s="9" t="s">
        <v>107</v>
      </c>
      <c r="B36" s="45"/>
      <c r="C36" s="24">
        <v>0</v>
      </c>
      <c r="D36" s="49" t="s">
        <v>67</v>
      </c>
      <c r="E36" s="50">
        <v>0</v>
      </c>
      <c r="F36" s="59">
        <f t="shared" si="3"/>
        <v>0</v>
      </c>
      <c r="G36" s="60">
        <f>IF(C36&lt;1.3,0,IF(C36&lt;2,0.15,0.16))</f>
        <v>0</v>
      </c>
    </row>
    <row r="37" spans="1:7" s="3" customFormat="1" ht="30.75" customHeight="1">
      <c r="A37" s="9" t="s">
        <v>108</v>
      </c>
      <c r="B37" s="45"/>
      <c r="C37" s="24">
        <v>0</v>
      </c>
      <c r="D37" s="49">
        <v>0.04</v>
      </c>
      <c r="E37" s="50">
        <v>30</v>
      </c>
      <c r="F37" s="59">
        <f t="shared" si="3"/>
        <v>0</v>
      </c>
      <c r="G37" s="60">
        <f aca="true" t="shared" si="4" ref="G37:G44">C37*0.01/D37</f>
        <v>0</v>
      </c>
    </row>
    <row r="38" spans="1:7" s="3" customFormat="1" ht="45.75" customHeight="1">
      <c r="A38" s="9" t="s">
        <v>109</v>
      </c>
      <c r="B38" s="45"/>
      <c r="C38" s="24">
        <v>0</v>
      </c>
      <c r="D38" s="49">
        <v>0.032</v>
      </c>
      <c r="E38" s="50">
        <v>30</v>
      </c>
      <c r="F38" s="59">
        <f t="shared" si="3"/>
        <v>0</v>
      </c>
      <c r="G38" s="60">
        <f t="shared" si="4"/>
        <v>0</v>
      </c>
    </row>
    <row r="39" spans="1:7" s="3" customFormat="1" ht="15">
      <c r="A39" s="9" t="s">
        <v>110</v>
      </c>
      <c r="B39" s="45"/>
      <c r="C39" s="24">
        <v>0</v>
      </c>
      <c r="D39" s="51">
        <v>0.03</v>
      </c>
      <c r="E39" s="50">
        <v>27</v>
      </c>
      <c r="F39" s="59">
        <f t="shared" si="3"/>
        <v>0</v>
      </c>
      <c r="G39" s="60">
        <f t="shared" si="4"/>
        <v>0</v>
      </c>
    </row>
    <row r="40" spans="1:7" s="3" customFormat="1" ht="15">
      <c r="A40" s="10" t="s">
        <v>69</v>
      </c>
      <c r="B40" s="46"/>
      <c r="C40" s="24">
        <v>0</v>
      </c>
      <c r="D40" s="49">
        <v>0.21</v>
      </c>
      <c r="E40" s="50">
        <v>900</v>
      </c>
      <c r="F40" s="59">
        <f t="shared" si="3"/>
        <v>0</v>
      </c>
      <c r="G40" s="60">
        <f t="shared" si="4"/>
        <v>0</v>
      </c>
    </row>
    <row r="41" spans="1:7" s="3" customFormat="1" ht="15">
      <c r="A41" s="10" t="s">
        <v>72</v>
      </c>
      <c r="B41" s="46"/>
      <c r="C41" s="24">
        <v>0</v>
      </c>
      <c r="D41" s="49">
        <v>0.14</v>
      </c>
      <c r="E41" s="50">
        <v>450</v>
      </c>
      <c r="F41" s="59">
        <f t="shared" si="3"/>
        <v>0</v>
      </c>
      <c r="G41" s="60">
        <f t="shared" si="4"/>
        <v>0</v>
      </c>
    </row>
    <row r="42" spans="1:7" s="3" customFormat="1" ht="15">
      <c r="A42" s="10" t="s">
        <v>73</v>
      </c>
      <c r="B42" s="46"/>
      <c r="C42" s="24">
        <v>0</v>
      </c>
      <c r="D42" s="49">
        <v>0.08</v>
      </c>
      <c r="E42" s="50">
        <v>200</v>
      </c>
      <c r="F42" s="59">
        <f t="shared" si="3"/>
        <v>0</v>
      </c>
      <c r="G42" s="60">
        <f t="shared" si="4"/>
        <v>0</v>
      </c>
    </row>
    <row r="43" spans="1:7" s="3" customFormat="1" ht="15">
      <c r="A43" s="9" t="s">
        <v>29</v>
      </c>
      <c r="B43" s="45"/>
      <c r="C43" s="24">
        <v>0</v>
      </c>
      <c r="D43" s="49">
        <v>0.87</v>
      </c>
      <c r="E43" s="50">
        <v>1800</v>
      </c>
      <c r="F43" s="59">
        <f t="shared" si="3"/>
        <v>0</v>
      </c>
      <c r="G43" s="60">
        <f t="shared" si="4"/>
        <v>0</v>
      </c>
    </row>
    <row r="44" spans="1:7" s="3" customFormat="1" ht="15.75" thickBot="1">
      <c r="A44" s="11" t="s">
        <v>8</v>
      </c>
      <c r="B44" s="48"/>
      <c r="C44" s="25">
        <v>1.5</v>
      </c>
      <c r="D44" s="52">
        <v>0.35</v>
      </c>
      <c r="E44" s="53">
        <v>1200</v>
      </c>
      <c r="F44" s="62">
        <f t="shared" si="3"/>
        <v>18</v>
      </c>
      <c r="G44" s="63">
        <f t="shared" si="4"/>
        <v>0.04285714285714286</v>
      </c>
    </row>
    <row r="45" spans="1:7" s="6" customFormat="1" ht="18.75" thickBot="1" thickTop="1">
      <c r="A45" s="12" t="s">
        <v>11</v>
      </c>
      <c r="B45" s="43"/>
      <c r="C45" s="13">
        <f>SUM(C8:C44)</f>
        <v>25</v>
      </c>
      <c r="D45" s="13"/>
      <c r="E45" s="13"/>
      <c r="F45" s="68">
        <f>SUM(F8:F44)</f>
        <v>272.1</v>
      </c>
      <c r="G45" s="64">
        <f>IF(F45&gt;0,SUM(G8:G44),1/0)</f>
        <v>0.6553366174055829</v>
      </c>
    </row>
    <row r="49" spans="1:8" s="15" customFormat="1" ht="27" customHeight="1">
      <c r="A49" s="88" t="s">
        <v>119</v>
      </c>
      <c r="B49" s="88"/>
      <c r="C49" s="88"/>
      <c r="D49" s="88"/>
      <c r="E49" s="88"/>
      <c r="F49" s="88"/>
      <c r="G49" s="88"/>
      <c r="H49" s="88"/>
    </row>
    <row r="50" spans="3:8" s="22" customFormat="1" ht="43.5" customHeight="1">
      <c r="C50" s="89" t="s">
        <v>16</v>
      </c>
      <c r="D50" s="89"/>
      <c r="E50" s="69">
        <f>F45</f>
        <v>272.1</v>
      </c>
      <c r="F50" s="23" t="s">
        <v>17</v>
      </c>
      <c r="G50" s="91" t="s">
        <v>130</v>
      </c>
      <c r="H50" s="91"/>
    </row>
    <row r="51" spans="1:8" s="22" customFormat="1" ht="42" customHeight="1">
      <c r="A51" s="14"/>
      <c r="B51" s="14"/>
      <c r="C51" s="88" t="s">
        <v>149</v>
      </c>
      <c r="D51" s="88"/>
      <c r="E51" s="16" t="s">
        <v>19</v>
      </c>
      <c r="F51" s="23">
        <f>IF($F$45&gt;300,0.6,IF($F$45&gt;200,1.2-0.002*$F$45,IF($F$45&gt;150,1.6-0.004*$F$45,IF($F$45&gt;100,1.75-0.005*$F$45,1.25))))</f>
        <v>0.6557999999999999</v>
      </c>
      <c r="G51" s="90" t="s">
        <v>120</v>
      </c>
      <c r="H51" s="90"/>
    </row>
    <row r="52" s="15" customFormat="1" ht="12">
      <c r="D52" s="17"/>
    </row>
    <row r="53" spans="1:2" s="15" customFormat="1" ht="18">
      <c r="A53" s="18" t="s">
        <v>9</v>
      </c>
      <c r="B53" s="18"/>
    </row>
    <row r="54" spans="1:8" s="15" customFormat="1" ht="20.25" customHeight="1">
      <c r="A54" s="19" t="s">
        <v>131</v>
      </c>
      <c r="B54" s="19"/>
      <c r="F54" s="95" t="str">
        <f>IF(F45&gt;250,"אלמנט כבד",IF(F45&gt;100,"אלמנט חצי כבד","!!!אלמנט קל"))</f>
        <v>אלמנט כבד</v>
      </c>
      <c r="G54" s="95"/>
      <c r="H54" s="95"/>
    </row>
    <row r="55" spans="1:8" s="15" customFormat="1" ht="21">
      <c r="A55" s="19" t="s">
        <v>132</v>
      </c>
      <c r="B55" s="19"/>
      <c r="F55" s="20" t="s">
        <v>21</v>
      </c>
      <c r="G55" s="77">
        <f>G45</f>
        <v>0.6553366174055829</v>
      </c>
      <c r="H55" s="21" t="s">
        <v>20</v>
      </c>
    </row>
    <row r="56" spans="1:9" s="15" customFormat="1" ht="21">
      <c r="A56" s="19" t="s">
        <v>133</v>
      </c>
      <c r="B56" s="19"/>
      <c r="F56" s="20" t="s">
        <v>21</v>
      </c>
      <c r="G56" s="77">
        <f>F51</f>
        <v>0.6557999999999999</v>
      </c>
      <c r="H56" s="21" t="s">
        <v>20</v>
      </c>
      <c r="I56" s="76">
        <f>G55/G56-1</f>
        <v>-0.0007065913303095916</v>
      </c>
    </row>
    <row r="57" spans="1:8" ht="21">
      <c r="A57" s="19" t="s">
        <v>127</v>
      </c>
      <c r="B57" s="19"/>
      <c r="D57" s="70">
        <f>IF(F45&gt;=250,1.3,IF(F45&gt;=100,1.05,0.9))</f>
        <v>1.3</v>
      </c>
      <c r="E57" s="21" t="s">
        <v>104</v>
      </c>
      <c r="F57" s="20" t="s">
        <v>21</v>
      </c>
      <c r="G57" s="77">
        <f>1/D57-0.16</f>
        <v>0.6092307692307691</v>
      </c>
      <c r="H57" s="21" t="s">
        <v>20</v>
      </c>
    </row>
    <row r="58" spans="1:8" ht="21">
      <c r="A58" s="19" t="s">
        <v>128</v>
      </c>
      <c r="B58" s="19"/>
      <c r="D58" s="70">
        <f>IF(F45&gt;=250,1,IF(F45&gt;=100,0.9,0.7))</f>
        <v>1</v>
      </c>
      <c r="E58" s="21" t="s">
        <v>104</v>
      </c>
      <c r="F58" s="20" t="s">
        <v>21</v>
      </c>
      <c r="G58" s="77">
        <f>1/D58-0.16</f>
        <v>0.84</v>
      </c>
      <c r="H58" s="21" t="s">
        <v>20</v>
      </c>
    </row>
    <row r="59" spans="1:8" ht="21">
      <c r="A59" s="19" t="s">
        <v>129</v>
      </c>
      <c r="B59" s="19"/>
      <c r="D59" s="70">
        <f>IF(F45&gt;=250,0.6,IF(F45&gt;=100,0.6,0.5))</f>
        <v>0.6</v>
      </c>
      <c r="E59" s="21" t="s">
        <v>104</v>
      </c>
      <c r="F59" s="20" t="s">
        <v>21</v>
      </c>
      <c r="G59" s="77">
        <f>1/D59-0.16</f>
        <v>1.5066666666666668</v>
      </c>
      <c r="H59" s="21" t="s">
        <v>20</v>
      </c>
    </row>
    <row r="60" spans="1:8" ht="19.5">
      <c r="A60" s="19"/>
      <c r="B60" s="19"/>
      <c r="D60" s="70"/>
      <c r="E60" s="21"/>
      <c r="F60" s="20"/>
      <c r="G60" s="65"/>
      <c r="H60" s="21"/>
    </row>
    <row r="63" spans="1:8" ht="41.25" customHeight="1">
      <c r="A63" s="82" t="s">
        <v>101</v>
      </c>
      <c r="B63" s="82"/>
      <c r="C63" s="3"/>
      <c r="D63" s="80" t="str">
        <f>IF(G55&gt;=G56,"עונה","אינה עונה")</f>
        <v>אינה עונה</v>
      </c>
      <c r="E63" s="92" t="s">
        <v>148</v>
      </c>
      <c r="F63" s="92"/>
      <c r="G63" s="83"/>
      <c r="H63" s="3"/>
    </row>
    <row r="64" spans="1:8" ht="51.75" customHeight="1">
      <c r="A64" s="82" t="s">
        <v>101</v>
      </c>
      <c r="B64" s="82"/>
      <c r="C64" s="3"/>
      <c r="D64" s="81" t="str">
        <f>IF(AND(G55&gt;=G57,F45&lt;100),"*עונה",IF(AND(G55&gt;=G57),"עונה","אינה עונה"))</f>
        <v>עונה</v>
      </c>
      <c r="E64" s="92" t="s">
        <v>147</v>
      </c>
      <c r="F64" s="92"/>
      <c r="G64" s="84" t="str">
        <f>IF(G55&gt;=G59,"A דרגה",IF(G55&gt;=G58,"B דרגה",IF(G55&gt;=G57,"C,D,E דרגה"," ")))</f>
        <v>C,D,E דרגה</v>
      </c>
      <c r="H64" s="3"/>
    </row>
    <row r="65" spans="1:8" ht="62.25" customHeight="1">
      <c r="A65" s="100" t="str">
        <f>IF(AND(F45&lt;100,G45&gt;=G57),"*שים לב, קיר חוץ זה מוגדר כאלמנט קל והוא עונה לדרישות תקן 5282 בתנאי שהוא ממוקם במבנה כבד בלבד"," ")</f>
        <v> </v>
      </c>
      <c r="B65" s="100"/>
      <c r="C65" s="100"/>
      <c r="D65" s="100"/>
      <c r="E65" s="100"/>
      <c r="F65" s="100"/>
      <c r="G65" s="100"/>
      <c r="H65" s="100"/>
    </row>
    <row r="66" spans="1:8" ht="22.5">
      <c r="A66" s="72"/>
      <c r="B66" s="72"/>
      <c r="C66" s="72"/>
      <c r="D66" s="72"/>
      <c r="E66" s="72"/>
      <c r="F66" s="72"/>
      <c r="G66" s="72"/>
      <c r="H66" s="72"/>
    </row>
    <row r="67" spans="1:8" ht="135.75" customHeight="1">
      <c r="A67" s="93" t="s">
        <v>134</v>
      </c>
      <c r="B67" s="94"/>
      <c r="C67" s="94"/>
      <c r="D67" s="94"/>
      <c r="E67" s="94"/>
      <c r="F67" s="94"/>
      <c r="G67" s="94"/>
      <c r="H67" s="94"/>
    </row>
    <row r="68" spans="1:8" ht="179.25" customHeight="1">
      <c r="A68" s="101" t="s">
        <v>135</v>
      </c>
      <c r="B68" s="102"/>
      <c r="C68" s="102"/>
      <c r="D68" s="102"/>
      <c r="E68" s="102"/>
      <c r="F68" s="102"/>
      <c r="G68" s="102"/>
      <c r="H68" s="102"/>
    </row>
    <row r="69" spans="1:8" ht="22.5">
      <c r="A69" s="72"/>
      <c r="B69" s="72"/>
      <c r="C69" s="72"/>
      <c r="D69" s="72"/>
      <c r="E69" s="72"/>
      <c r="F69" s="72"/>
      <c r="G69" s="72"/>
      <c r="H69" s="72"/>
    </row>
    <row r="71" spans="1:8" ht="12">
      <c r="A71" s="99" t="s">
        <v>105</v>
      </c>
      <c r="B71" s="99"/>
      <c r="C71" s="99"/>
      <c r="D71" s="99"/>
      <c r="E71" s="99"/>
      <c r="F71" s="99"/>
      <c r="G71" s="99"/>
      <c r="H71" s="99"/>
    </row>
    <row r="72" spans="1:8" ht="12">
      <c r="A72" s="99"/>
      <c r="B72" s="99"/>
      <c r="C72" s="99"/>
      <c r="D72" s="99"/>
      <c r="E72" s="99"/>
      <c r="F72" s="99"/>
      <c r="G72" s="99"/>
      <c r="H72" s="99"/>
    </row>
  </sheetData>
  <sheetProtection password="CB43" sheet="1"/>
  <protectedRanges>
    <protectedRange sqref="A8:A44" name="טווח3"/>
    <protectedRange sqref="A3:G3 A2:F2" name="טווח2"/>
    <protectedRange sqref="G2" name="טווח2_2_2"/>
    <protectedRange sqref="C8:C44" name="טווח1_1"/>
  </protectedRanges>
  <mergeCells count="14">
    <mergeCell ref="E63:F63"/>
    <mergeCell ref="E64:F64"/>
    <mergeCell ref="A67:H67"/>
    <mergeCell ref="F54:H54"/>
    <mergeCell ref="A5:G5"/>
    <mergeCell ref="A71:H72"/>
    <mergeCell ref="A65:H65"/>
    <mergeCell ref="A68:H68"/>
    <mergeCell ref="A3:G3"/>
    <mergeCell ref="C51:D51"/>
    <mergeCell ref="C50:D50"/>
    <mergeCell ref="A49:H49"/>
    <mergeCell ref="G51:H51"/>
    <mergeCell ref="G50:H50"/>
  </mergeCells>
  <printOptions horizontalCentered="1" verticalCentered="1"/>
  <pageMargins left="0.7480314960629921" right="0.7480314960629921" top="0.984251968503937" bottom="0.984251968503937" header="0.5118110236220472" footer="0.5118110236220472"/>
  <pageSetup fitToHeight="1" fitToWidth="1" horizontalDpi="300" verticalDpi="300" orientation="portrait" paperSize="9" scale="35" r:id="rId2"/>
  <headerFooter alignWithMargins="0">
    <oddHeader>&amp;C&amp;F
&amp;A</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I72"/>
  <sheetViews>
    <sheetView rightToLeft="1" view="pageBreakPreview" zoomScale="96" zoomScaleSheetLayoutView="96" zoomScalePageLayoutView="0" workbookViewId="0" topLeftCell="A27">
      <selection activeCell="C8" sqref="C8:C44"/>
    </sheetView>
  </sheetViews>
  <sheetFormatPr defaultColWidth="9.140625" defaultRowHeight="12.75"/>
  <cols>
    <col min="1" max="1" width="38.140625" style="0" customWidth="1"/>
    <col min="2" max="2" width="24.57421875" style="0" customWidth="1"/>
    <col min="3" max="3" width="12.140625" style="0" customWidth="1"/>
    <col min="4" max="4" width="18.00390625" style="0" customWidth="1"/>
    <col min="5" max="5" width="18.8515625" style="0" customWidth="1"/>
    <col min="6" max="6" width="17.421875" style="0" customWidth="1"/>
    <col min="7" max="7" width="15.57421875" style="0" customWidth="1"/>
    <col min="8" max="8" width="15.00390625" style="0" customWidth="1"/>
    <col min="9" max="9" width="9.8515625" style="0" bestFit="1" customWidth="1"/>
  </cols>
  <sheetData>
    <row r="1" ht="46.5" customHeight="1"/>
    <row r="2" spans="1:7" s="3" customFormat="1" ht="66.75" customHeight="1">
      <c r="A2" s="54"/>
      <c r="B2" s="54"/>
      <c r="C2" s="54"/>
      <c r="F2" s="41" t="s">
        <v>106</v>
      </c>
      <c r="G2" s="6" t="s">
        <v>150</v>
      </c>
    </row>
    <row r="3" spans="1:7" ht="24.75">
      <c r="A3" s="103" t="s">
        <v>30</v>
      </c>
      <c r="B3" s="87"/>
      <c r="C3" s="87"/>
      <c r="D3" s="87"/>
      <c r="E3" s="87"/>
      <c r="F3" s="87"/>
      <c r="G3" s="87"/>
    </row>
    <row r="4" spans="1:2" ht="18" thickBot="1">
      <c r="A4" s="7"/>
      <c r="B4" s="7"/>
    </row>
    <row r="5" spans="1:7" ht="20.25" thickBot="1">
      <c r="A5" s="96" t="s">
        <v>23</v>
      </c>
      <c r="B5" s="97"/>
      <c r="C5" s="97"/>
      <c r="D5" s="97"/>
      <c r="E5" s="97"/>
      <c r="F5" s="97"/>
      <c r="G5" s="98"/>
    </row>
    <row r="6" spans="1:7" s="3" customFormat="1" ht="53.25" customHeight="1" thickBot="1">
      <c r="A6" s="1" t="s">
        <v>0</v>
      </c>
      <c r="B6" s="42"/>
      <c r="C6" s="2" t="s">
        <v>2</v>
      </c>
      <c r="D6" s="55" t="s">
        <v>1</v>
      </c>
      <c r="E6" s="55" t="s">
        <v>12</v>
      </c>
      <c r="F6" s="55" t="s">
        <v>14</v>
      </c>
      <c r="G6" s="56" t="s">
        <v>3</v>
      </c>
    </row>
    <row r="7" spans="1:7" s="3" customFormat="1" ht="19.5">
      <c r="A7" s="4"/>
      <c r="B7" s="44"/>
      <c r="C7" s="5" t="s">
        <v>7</v>
      </c>
      <c r="D7" s="57" t="s">
        <v>6</v>
      </c>
      <c r="E7" s="57" t="s">
        <v>5</v>
      </c>
      <c r="F7" s="57" t="s">
        <v>4</v>
      </c>
      <c r="G7" s="58" t="s">
        <v>10</v>
      </c>
    </row>
    <row r="8" spans="1:7" s="3" customFormat="1" ht="30.75">
      <c r="A8" s="9" t="s">
        <v>13</v>
      </c>
      <c r="B8" s="45"/>
      <c r="C8" s="24">
        <v>0</v>
      </c>
      <c r="D8" s="49">
        <v>2.3</v>
      </c>
      <c r="E8" s="50">
        <v>2600</v>
      </c>
      <c r="F8" s="59">
        <f>0.5*C8*0.01*E8</f>
        <v>0</v>
      </c>
      <c r="G8" s="60">
        <f>C8*0.01/D8</f>
        <v>0</v>
      </c>
    </row>
    <row r="9" spans="1:7" s="3" customFormat="1" ht="15">
      <c r="A9" s="9" t="s">
        <v>66</v>
      </c>
      <c r="B9" s="45"/>
      <c r="C9" s="86">
        <v>0</v>
      </c>
      <c r="D9" s="49">
        <v>1.4</v>
      </c>
      <c r="E9" s="50">
        <v>2000</v>
      </c>
      <c r="F9" s="59">
        <f>0.5*C9*0.01*E9</f>
        <v>0</v>
      </c>
      <c r="G9" s="60">
        <f>C9*0.01/D9</f>
        <v>0</v>
      </c>
    </row>
    <row r="10" spans="1:7" s="3" customFormat="1" ht="15">
      <c r="A10" s="9" t="s">
        <v>29</v>
      </c>
      <c r="B10" s="45"/>
      <c r="C10" s="86">
        <v>0</v>
      </c>
      <c r="D10" s="49">
        <v>0.87</v>
      </c>
      <c r="E10" s="50">
        <v>1800</v>
      </c>
      <c r="F10" s="59">
        <f>0.5*C10*0.01*E10</f>
        <v>0</v>
      </c>
      <c r="G10" s="60">
        <f>C10*0.01/D10</f>
        <v>0</v>
      </c>
    </row>
    <row r="11" spans="1:7" s="3" customFormat="1" ht="15">
      <c r="A11" s="9" t="s">
        <v>15</v>
      </c>
      <c r="B11" s="45"/>
      <c r="C11" s="86">
        <v>0</v>
      </c>
      <c r="D11" s="49">
        <v>1.4</v>
      </c>
      <c r="E11" s="50">
        <v>2000</v>
      </c>
      <c r="F11" s="59">
        <f>0.5*C11*0.01*E11</f>
        <v>0</v>
      </c>
      <c r="G11" s="60">
        <f>C11*0.01/D11</f>
        <v>0</v>
      </c>
    </row>
    <row r="12" spans="1:7" s="3" customFormat="1" ht="15">
      <c r="A12" s="9" t="s">
        <v>25</v>
      </c>
      <c r="B12" s="45"/>
      <c r="C12" s="86">
        <v>0</v>
      </c>
      <c r="D12" s="49">
        <v>2.1</v>
      </c>
      <c r="E12" s="50">
        <v>2400</v>
      </c>
      <c r="F12" s="59">
        <f>0.5*C12*0.01*E12</f>
        <v>0</v>
      </c>
      <c r="G12" s="60">
        <f>C12*0.01/D12</f>
        <v>0</v>
      </c>
    </row>
    <row r="13" spans="1:7" s="3" customFormat="1" ht="27.75" customHeight="1">
      <c r="A13" s="9" t="s">
        <v>107</v>
      </c>
      <c r="B13" s="45"/>
      <c r="C13" s="86">
        <v>0</v>
      </c>
      <c r="D13" s="49" t="s">
        <v>67</v>
      </c>
      <c r="E13" s="50">
        <v>0</v>
      </c>
      <c r="F13" s="59">
        <f aca="true" t="shared" si="0" ref="F13:F19">C13*0.01*E13</f>
        <v>0</v>
      </c>
      <c r="G13" s="60">
        <f>IF(C13&lt;1.3,0,IF(C13&lt;2,0.15,0.16))</f>
        <v>0</v>
      </c>
    </row>
    <row r="14" spans="1:7" s="3" customFormat="1" ht="30.75">
      <c r="A14" s="9" t="s">
        <v>108</v>
      </c>
      <c r="B14" s="45"/>
      <c r="C14" s="86">
        <v>0</v>
      </c>
      <c r="D14" s="49">
        <v>0.04</v>
      </c>
      <c r="E14" s="50">
        <v>30</v>
      </c>
      <c r="F14" s="59">
        <f t="shared" si="0"/>
        <v>0</v>
      </c>
      <c r="G14" s="60">
        <f aca="true" t="shared" si="1" ref="G14:G35">C14*0.01/D14</f>
        <v>0</v>
      </c>
    </row>
    <row r="15" spans="1:7" s="3" customFormat="1" ht="30.75">
      <c r="A15" s="9" t="s">
        <v>109</v>
      </c>
      <c r="B15" s="45"/>
      <c r="C15" s="86">
        <v>0</v>
      </c>
      <c r="D15" s="49">
        <v>0.032</v>
      </c>
      <c r="E15" s="50">
        <v>30</v>
      </c>
      <c r="F15" s="59">
        <f t="shared" si="0"/>
        <v>0</v>
      </c>
      <c r="G15" s="60">
        <f>C15*0.01/D15</f>
        <v>0</v>
      </c>
    </row>
    <row r="16" spans="1:7" s="3" customFormat="1" ht="15">
      <c r="A16" s="9" t="s">
        <v>110</v>
      </c>
      <c r="B16" s="45"/>
      <c r="C16" s="86">
        <v>0</v>
      </c>
      <c r="D16" s="49">
        <v>0.03</v>
      </c>
      <c r="E16" s="50">
        <v>27</v>
      </c>
      <c r="F16" s="59">
        <f t="shared" si="0"/>
        <v>0</v>
      </c>
      <c r="G16" s="60">
        <f>C16*0.01/D16</f>
        <v>0</v>
      </c>
    </row>
    <row r="17" spans="1:7" s="3" customFormat="1" ht="15">
      <c r="A17" s="10" t="s">
        <v>68</v>
      </c>
      <c r="B17" s="46"/>
      <c r="C17" s="86">
        <v>0</v>
      </c>
      <c r="D17" s="49">
        <v>0.04</v>
      </c>
      <c r="E17" s="50">
        <v>25</v>
      </c>
      <c r="F17" s="59">
        <f t="shared" si="0"/>
        <v>0</v>
      </c>
      <c r="G17" s="60">
        <f t="shared" si="1"/>
        <v>0</v>
      </c>
    </row>
    <row r="18" spans="1:7" s="3" customFormat="1" ht="15">
      <c r="A18" s="10" t="s">
        <v>69</v>
      </c>
      <c r="B18" s="46"/>
      <c r="C18" s="86">
        <v>0</v>
      </c>
      <c r="D18" s="49">
        <v>0.21</v>
      </c>
      <c r="E18" s="50">
        <v>900</v>
      </c>
      <c r="F18" s="59">
        <f t="shared" si="0"/>
        <v>0</v>
      </c>
      <c r="G18" s="60">
        <f t="shared" si="1"/>
        <v>0</v>
      </c>
    </row>
    <row r="19" spans="1:7" s="3" customFormat="1" ht="15">
      <c r="A19" s="10" t="s">
        <v>70</v>
      </c>
      <c r="B19" s="46"/>
      <c r="C19" s="86">
        <v>0</v>
      </c>
      <c r="D19" s="49">
        <v>0.58</v>
      </c>
      <c r="E19" s="50">
        <v>2000</v>
      </c>
      <c r="F19" s="59">
        <f t="shared" si="0"/>
        <v>0</v>
      </c>
      <c r="G19" s="60">
        <f t="shared" si="1"/>
        <v>0</v>
      </c>
    </row>
    <row r="20" spans="1:7" s="3" customFormat="1" ht="15">
      <c r="A20" s="10" t="s">
        <v>143</v>
      </c>
      <c r="B20" s="46" t="s">
        <v>144</v>
      </c>
      <c r="C20" s="86">
        <v>0</v>
      </c>
      <c r="D20" s="49">
        <v>0.09</v>
      </c>
      <c r="E20" s="50">
        <v>220</v>
      </c>
      <c r="F20" s="59">
        <f aca="true" t="shared" si="2" ref="F20:F25">1.04*C20*0.01*E20</f>
        <v>0</v>
      </c>
      <c r="G20" s="60">
        <f t="shared" si="1"/>
        <v>0</v>
      </c>
    </row>
    <row r="21" spans="1:7" s="3" customFormat="1" ht="15">
      <c r="A21" s="10" t="s">
        <v>71</v>
      </c>
      <c r="B21" s="46"/>
      <c r="C21" s="86">
        <v>0</v>
      </c>
      <c r="D21" s="49">
        <v>0.12</v>
      </c>
      <c r="E21" s="50">
        <v>335</v>
      </c>
      <c r="F21" s="59">
        <f t="shared" si="2"/>
        <v>0</v>
      </c>
      <c r="G21" s="60">
        <f t="shared" si="1"/>
        <v>0</v>
      </c>
    </row>
    <row r="22" spans="1:7" s="3" customFormat="1" ht="15">
      <c r="A22" s="10" t="s">
        <v>24</v>
      </c>
      <c r="B22" s="46"/>
      <c r="C22" s="86">
        <v>0</v>
      </c>
      <c r="D22" s="49">
        <v>0.14</v>
      </c>
      <c r="E22" s="50">
        <v>400</v>
      </c>
      <c r="F22" s="59">
        <f t="shared" si="2"/>
        <v>0</v>
      </c>
      <c r="G22" s="60">
        <f t="shared" si="1"/>
        <v>0</v>
      </c>
    </row>
    <row r="23" spans="1:7" s="3" customFormat="1" ht="15">
      <c r="A23" s="10" t="s">
        <v>22</v>
      </c>
      <c r="B23" s="46"/>
      <c r="C23" s="86">
        <v>0</v>
      </c>
      <c r="D23" s="49">
        <v>0.15</v>
      </c>
      <c r="E23" s="50">
        <v>475</v>
      </c>
      <c r="F23" s="59">
        <f t="shared" si="2"/>
        <v>0</v>
      </c>
      <c r="G23" s="60">
        <f t="shared" si="1"/>
        <v>0</v>
      </c>
    </row>
    <row r="24" spans="1:7" s="3" customFormat="1" ht="15">
      <c r="A24" s="10" t="s">
        <v>98</v>
      </c>
      <c r="B24" s="46"/>
      <c r="C24" s="86">
        <v>0</v>
      </c>
      <c r="D24" s="49">
        <v>0.16</v>
      </c>
      <c r="E24" s="50">
        <v>535</v>
      </c>
      <c r="F24" s="59">
        <f t="shared" si="2"/>
        <v>0</v>
      </c>
      <c r="G24" s="60">
        <f t="shared" si="1"/>
        <v>0</v>
      </c>
    </row>
    <row r="25" spans="1:7" s="3" customFormat="1" ht="15">
      <c r="A25" s="10" t="s">
        <v>99</v>
      </c>
      <c r="B25" s="46"/>
      <c r="C25" s="86">
        <v>0</v>
      </c>
      <c r="D25" s="49">
        <v>0.19</v>
      </c>
      <c r="E25" s="50">
        <v>600</v>
      </c>
      <c r="F25" s="59">
        <f t="shared" si="2"/>
        <v>0</v>
      </c>
      <c r="G25" s="60">
        <f t="shared" si="1"/>
        <v>0</v>
      </c>
    </row>
    <row r="26" spans="1:7" s="3" customFormat="1" ht="47.25">
      <c r="A26" s="9" t="s">
        <v>113</v>
      </c>
      <c r="B26" s="47" t="str">
        <f>IF(C26=0," ",IF(C26&lt;&gt;22,"עובי הבלוק האפשרי 
הינו 22 סמ' בלבד"," "))</f>
        <v> </v>
      </c>
      <c r="C26" s="86">
        <v>0</v>
      </c>
      <c r="D26" s="51">
        <f>0.22/0.93</f>
        <v>0.23655913978494622</v>
      </c>
      <c r="E26" s="50">
        <v>860</v>
      </c>
      <c r="F26" s="61">
        <f>IF(C26=0,C26*0.01*E26,IF(C26&lt;&gt;22,1/0,C26*0.01*E26))</f>
        <v>0</v>
      </c>
      <c r="G26" s="60">
        <f>IF(C26=22,C26*0.01/D26,0)</f>
        <v>0</v>
      </c>
    </row>
    <row r="27" spans="1:7" s="3" customFormat="1" ht="40.5" customHeight="1">
      <c r="A27" s="9" t="s">
        <v>111</v>
      </c>
      <c r="B27" s="47" t="str">
        <f>IF(C27=0," ",IF(C27&lt;&gt;20,"עובי הבלוק האפשרי 
הינו 20 סמ' בלבד"," "))</f>
        <v> </v>
      </c>
      <c r="C27" s="86">
        <v>0</v>
      </c>
      <c r="D27" s="51">
        <f>0.2/0.88</f>
        <v>0.2272727272727273</v>
      </c>
      <c r="E27" s="50">
        <v>745</v>
      </c>
      <c r="F27" s="61">
        <f>IF(C27=0,C27*0.01*E27,IF(C27&lt;&gt;20,1/0,C27*0.01*E27))</f>
        <v>0</v>
      </c>
      <c r="G27" s="60">
        <f>IF(C27=20,C27*0.01/D27,0)</f>
        <v>0</v>
      </c>
    </row>
    <row r="28" spans="1:7" s="3" customFormat="1" ht="42" customHeight="1">
      <c r="A28" s="9" t="s">
        <v>112</v>
      </c>
      <c r="B28" s="47" t="str">
        <f>IF(C28=0," ",IF(C28&lt;&gt;22,"עובי הבלוק האפשרי 
הינו 22 סמ' בלבד"," "))</f>
        <v> </v>
      </c>
      <c r="C28" s="86">
        <v>0</v>
      </c>
      <c r="D28" s="51">
        <f>0.22/0.88</f>
        <v>0.25</v>
      </c>
      <c r="E28" s="50">
        <v>795</v>
      </c>
      <c r="F28" s="61">
        <f>IF(C28=0,C28*0.01*E28,IF(C28&lt;&gt;22,1/0,C28*0.01*E28))</f>
        <v>0</v>
      </c>
      <c r="G28" s="60">
        <f>IF(C28=22,C28*0.01/D28,0)</f>
        <v>0</v>
      </c>
    </row>
    <row r="29" spans="1:7" s="3" customFormat="1" ht="42" customHeight="1">
      <c r="A29" s="9" t="s">
        <v>114</v>
      </c>
      <c r="B29" s="47" t="str">
        <f>IF(C29=0," ",IF(C29&lt;&gt;22,"עובי הבלוק האפשרי 
הינו 22 סמ' בלבד"," "))</f>
        <v> </v>
      </c>
      <c r="C29" s="86">
        <v>0</v>
      </c>
      <c r="D29" s="51">
        <f>0.22/0.78</f>
        <v>0.28205128205128205</v>
      </c>
      <c r="E29" s="50">
        <v>848</v>
      </c>
      <c r="F29" s="61">
        <f>IF(C29=0,C29*0.01*E29,IF(C29&lt;&gt;22,1/0,C29*0.01*E29))</f>
        <v>0</v>
      </c>
      <c r="G29" s="60">
        <f>IF(C29=22,C29*0.01/D29,0)</f>
        <v>0</v>
      </c>
    </row>
    <row r="30" spans="1:7" s="3" customFormat="1" ht="42" customHeight="1">
      <c r="A30" s="9" t="s">
        <v>115</v>
      </c>
      <c r="B30" s="47" t="str">
        <f>IF(C30=0," ",IF(C30&lt;&gt;20,"עובי הבלוק האפשרי 
הינו 20 סמ' בלבד"," "))</f>
        <v> </v>
      </c>
      <c r="C30" s="86">
        <v>0</v>
      </c>
      <c r="D30" s="51">
        <f>0.2/0.73</f>
        <v>0.27397260273972607</v>
      </c>
      <c r="E30" s="50">
        <v>825</v>
      </c>
      <c r="F30" s="61">
        <f>IF(C30=0,C30*0.01*E30,IF(C30&lt;&gt;20,1/0,C30*0.01*E30))</f>
        <v>0</v>
      </c>
      <c r="G30" s="60">
        <f>IF(C30=20,C30*0.01/D30,0)</f>
        <v>0</v>
      </c>
    </row>
    <row r="31" spans="1:7" s="3" customFormat="1" ht="16.5">
      <c r="A31" s="10" t="s">
        <v>116</v>
      </c>
      <c r="B31" s="47" t="str">
        <f>IF(C31=0," ",IF(C31&lt;&gt;25,"עובי הבלוק האפשרי 
הינו 25 סמ' בלבד"," "))</f>
        <v> </v>
      </c>
      <c r="C31" s="86">
        <v>0</v>
      </c>
      <c r="D31" s="51">
        <f>0.25/2.9</f>
        <v>0.08620689655172414</v>
      </c>
      <c r="E31" s="50">
        <f>(14/25)*850</f>
        <v>476.00000000000006</v>
      </c>
      <c r="F31" s="61">
        <f>IF(C31=0,C31*0.01*E31,IF(C31&lt;&gt;25,1/0,C31*0.01*E31))</f>
        <v>0</v>
      </c>
      <c r="G31" s="60">
        <f t="shared" si="1"/>
        <v>0</v>
      </c>
    </row>
    <row r="32" spans="1:7" s="3" customFormat="1" ht="15">
      <c r="A32" s="10" t="s">
        <v>74</v>
      </c>
      <c r="B32" s="46"/>
      <c r="C32" s="86">
        <v>0</v>
      </c>
      <c r="D32" s="51">
        <f>0.2/0.45</f>
        <v>0.4444444444444445</v>
      </c>
      <c r="E32" s="50">
        <v>1300</v>
      </c>
      <c r="F32" s="59">
        <f aca="true" t="shared" si="3" ref="F32:F44">C32*0.01*E32</f>
        <v>0</v>
      </c>
      <c r="G32" s="60">
        <f t="shared" si="1"/>
        <v>0</v>
      </c>
    </row>
    <row r="33" spans="1:7" s="3" customFormat="1" ht="15">
      <c r="A33" s="10" t="s">
        <v>100</v>
      </c>
      <c r="B33" s="46"/>
      <c r="C33" s="86">
        <v>0</v>
      </c>
      <c r="D33" s="51">
        <v>0.235</v>
      </c>
      <c r="E33" s="50">
        <v>780</v>
      </c>
      <c r="F33" s="59">
        <f t="shared" si="3"/>
        <v>0</v>
      </c>
      <c r="G33" s="60">
        <f t="shared" si="1"/>
        <v>0</v>
      </c>
    </row>
    <row r="34" spans="1:7" s="3" customFormat="1" ht="15">
      <c r="A34" s="9" t="s">
        <v>25</v>
      </c>
      <c r="B34" s="45"/>
      <c r="C34" s="86">
        <v>0</v>
      </c>
      <c r="D34" s="49">
        <v>2.1</v>
      </c>
      <c r="E34" s="50">
        <v>2400</v>
      </c>
      <c r="F34" s="59">
        <f t="shared" si="3"/>
        <v>0</v>
      </c>
      <c r="G34" s="60">
        <f t="shared" si="1"/>
        <v>0</v>
      </c>
    </row>
    <row r="35" spans="1:7" s="3" customFormat="1" ht="15">
      <c r="A35" s="10" t="s">
        <v>68</v>
      </c>
      <c r="B35" s="46"/>
      <c r="C35" s="86">
        <v>0</v>
      </c>
      <c r="D35" s="49">
        <v>0.04</v>
      </c>
      <c r="E35" s="50">
        <v>25</v>
      </c>
      <c r="F35" s="59">
        <f t="shared" si="3"/>
        <v>0</v>
      </c>
      <c r="G35" s="60">
        <f t="shared" si="1"/>
        <v>0</v>
      </c>
    </row>
    <row r="36" spans="1:7" s="3" customFormat="1" ht="30.75" customHeight="1">
      <c r="A36" s="9" t="s">
        <v>107</v>
      </c>
      <c r="B36" s="45"/>
      <c r="C36" s="86">
        <v>0</v>
      </c>
      <c r="D36" s="49" t="s">
        <v>67</v>
      </c>
      <c r="E36" s="50">
        <v>0</v>
      </c>
      <c r="F36" s="59">
        <f t="shared" si="3"/>
        <v>0</v>
      </c>
      <c r="G36" s="60">
        <f>IF(C36&lt;1.3,0,IF(C36&lt;2,0.15,0.16))</f>
        <v>0</v>
      </c>
    </row>
    <row r="37" spans="1:7" s="3" customFormat="1" ht="30.75" customHeight="1">
      <c r="A37" s="9" t="s">
        <v>108</v>
      </c>
      <c r="B37" s="45"/>
      <c r="C37" s="86">
        <v>0</v>
      </c>
      <c r="D37" s="49">
        <v>0.04</v>
      </c>
      <c r="E37" s="50">
        <v>30</v>
      </c>
      <c r="F37" s="59">
        <f t="shared" si="3"/>
        <v>0</v>
      </c>
      <c r="G37" s="60">
        <f aca="true" t="shared" si="4" ref="G37:G44">C37*0.01/D37</f>
        <v>0</v>
      </c>
    </row>
    <row r="38" spans="1:7" s="3" customFormat="1" ht="45.75" customHeight="1">
      <c r="A38" s="9" t="s">
        <v>109</v>
      </c>
      <c r="B38" s="45"/>
      <c r="C38" s="86">
        <v>0</v>
      </c>
      <c r="D38" s="49">
        <v>0.032</v>
      </c>
      <c r="E38" s="50">
        <v>30</v>
      </c>
      <c r="F38" s="59">
        <f t="shared" si="3"/>
        <v>0</v>
      </c>
      <c r="G38" s="60">
        <f t="shared" si="4"/>
        <v>0</v>
      </c>
    </row>
    <row r="39" spans="1:7" s="3" customFormat="1" ht="15">
      <c r="A39" s="9" t="s">
        <v>110</v>
      </c>
      <c r="B39" s="45"/>
      <c r="C39" s="86">
        <v>0</v>
      </c>
      <c r="D39" s="51">
        <v>0.03</v>
      </c>
      <c r="E39" s="50">
        <v>27</v>
      </c>
      <c r="F39" s="59">
        <f t="shared" si="3"/>
        <v>0</v>
      </c>
      <c r="G39" s="60">
        <f t="shared" si="4"/>
        <v>0</v>
      </c>
    </row>
    <row r="40" spans="1:7" s="3" customFormat="1" ht="15">
      <c r="A40" s="10" t="s">
        <v>69</v>
      </c>
      <c r="B40" s="46"/>
      <c r="C40" s="86">
        <v>0</v>
      </c>
      <c r="D40" s="49">
        <v>0.21</v>
      </c>
      <c r="E40" s="50">
        <v>900</v>
      </c>
      <c r="F40" s="59">
        <f t="shared" si="3"/>
        <v>0</v>
      </c>
      <c r="G40" s="60">
        <f t="shared" si="4"/>
        <v>0</v>
      </c>
    </row>
    <row r="41" spans="1:7" s="3" customFormat="1" ht="15">
      <c r="A41" s="10" t="s">
        <v>72</v>
      </c>
      <c r="B41" s="46"/>
      <c r="C41" s="86">
        <v>0</v>
      </c>
      <c r="D41" s="49">
        <v>0.14</v>
      </c>
      <c r="E41" s="50">
        <v>450</v>
      </c>
      <c r="F41" s="59">
        <f t="shared" si="3"/>
        <v>0</v>
      </c>
      <c r="G41" s="60">
        <f t="shared" si="4"/>
        <v>0</v>
      </c>
    </row>
    <row r="42" spans="1:7" s="3" customFormat="1" ht="15">
      <c r="A42" s="10" t="s">
        <v>73</v>
      </c>
      <c r="B42" s="46"/>
      <c r="C42" s="86">
        <v>0</v>
      </c>
      <c r="D42" s="49">
        <v>0.08</v>
      </c>
      <c r="E42" s="50">
        <v>200</v>
      </c>
      <c r="F42" s="59">
        <f t="shared" si="3"/>
        <v>0</v>
      </c>
      <c r="G42" s="60">
        <f t="shared" si="4"/>
        <v>0</v>
      </c>
    </row>
    <row r="43" spans="1:7" s="3" customFormat="1" ht="15">
      <c r="A43" s="9" t="s">
        <v>29</v>
      </c>
      <c r="B43" s="45"/>
      <c r="C43" s="86">
        <v>0</v>
      </c>
      <c r="D43" s="49">
        <v>0.87</v>
      </c>
      <c r="E43" s="50">
        <v>1800</v>
      </c>
      <c r="F43" s="59">
        <f t="shared" si="3"/>
        <v>0</v>
      </c>
      <c r="G43" s="60">
        <f t="shared" si="4"/>
        <v>0</v>
      </c>
    </row>
    <row r="44" spans="1:7" s="3" customFormat="1" ht="15.75" thickBot="1">
      <c r="A44" s="11" t="s">
        <v>8</v>
      </c>
      <c r="B44" s="48"/>
      <c r="C44" s="86">
        <v>0</v>
      </c>
      <c r="D44" s="52">
        <v>0.35</v>
      </c>
      <c r="E44" s="53">
        <v>1200</v>
      </c>
      <c r="F44" s="62">
        <f t="shared" si="3"/>
        <v>0</v>
      </c>
      <c r="G44" s="63">
        <f t="shared" si="4"/>
        <v>0</v>
      </c>
    </row>
    <row r="45" spans="1:7" s="6" customFormat="1" ht="18.75" thickBot="1" thickTop="1">
      <c r="A45" s="12" t="s">
        <v>11</v>
      </c>
      <c r="B45" s="43"/>
      <c r="C45" s="13">
        <f>SUM(C8:C44)</f>
        <v>0</v>
      </c>
      <c r="D45" s="13"/>
      <c r="E45" s="13"/>
      <c r="F45" s="68">
        <f>SUM(F8:F44)</f>
        <v>0</v>
      </c>
      <c r="G45" s="64" t="e">
        <f>IF(F45&gt;0,SUM(G8:G44),1/0)</f>
        <v>#DIV/0!</v>
      </c>
    </row>
    <row r="49" spans="1:8" s="15" customFormat="1" ht="27" customHeight="1">
      <c r="A49" s="88" t="s">
        <v>121</v>
      </c>
      <c r="B49" s="88"/>
      <c r="C49" s="88"/>
      <c r="D49" s="88"/>
      <c r="E49" s="88"/>
      <c r="F49" s="88"/>
      <c r="G49" s="88"/>
      <c r="H49" s="88"/>
    </row>
    <row r="50" spans="3:8" s="22" customFormat="1" ht="43.5" customHeight="1">
      <c r="C50" s="89" t="s">
        <v>16</v>
      </c>
      <c r="D50" s="89"/>
      <c r="E50" s="69">
        <f>F45</f>
        <v>0</v>
      </c>
      <c r="F50" s="23" t="s">
        <v>17</v>
      </c>
      <c r="G50" s="91" t="s">
        <v>117</v>
      </c>
      <c r="H50" s="91"/>
    </row>
    <row r="51" spans="1:8" s="22" customFormat="1" ht="42" customHeight="1">
      <c r="A51" s="14"/>
      <c r="B51" s="14"/>
      <c r="C51" s="88" t="s">
        <v>149</v>
      </c>
      <c r="D51" s="88"/>
      <c r="E51" s="16" t="s">
        <v>19</v>
      </c>
      <c r="F51" s="23">
        <f>IF($F$45&gt;300,0.7,IF($F$45&gt;200,1.3-0.002*$F$45,IF($F$45&gt;150,1.7-0.004*$F$45,IF($F$45&gt;100,2.3-0.008*$F$45,1.5))))</f>
        <v>1.5</v>
      </c>
      <c r="G51" s="90" t="s">
        <v>118</v>
      </c>
      <c r="H51" s="90"/>
    </row>
    <row r="52" s="15" customFormat="1" ht="12">
      <c r="D52" s="17"/>
    </row>
    <row r="53" spans="1:2" s="15" customFormat="1" ht="18">
      <c r="A53" s="18" t="s">
        <v>9</v>
      </c>
      <c r="B53" s="18"/>
    </row>
    <row r="54" spans="1:8" s="15" customFormat="1" ht="20.25" customHeight="1">
      <c r="A54" s="19" t="s">
        <v>131</v>
      </c>
      <c r="B54" s="19"/>
      <c r="F54" s="95" t="str">
        <f>IF(F45&gt;=250,"אלמנט כבד",IF(F45&gt;=100,"אלמנט חצי כבד","!!!אלמנט קל"))</f>
        <v>!!!אלמנט קל</v>
      </c>
      <c r="G54" s="95"/>
      <c r="H54" s="95"/>
    </row>
    <row r="55" spans="1:8" s="15" customFormat="1" ht="21">
      <c r="A55" s="19" t="s">
        <v>132</v>
      </c>
      <c r="B55" s="19"/>
      <c r="F55" s="20" t="s">
        <v>21</v>
      </c>
      <c r="G55" s="77" t="e">
        <f>G45</f>
        <v>#DIV/0!</v>
      </c>
      <c r="H55" s="21" t="s">
        <v>20</v>
      </c>
    </row>
    <row r="56" spans="1:9" s="15" customFormat="1" ht="21">
      <c r="A56" s="19" t="s">
        <v>133</v>
      </c>
      <c r="B56" s="19"/>
      <c r="F56" s="20" t="s">
        <v>21</v>
      </c>
      <c r="G56" s="77">
        <f>F51</f>
        <v>1.5</v>
      </c>
      <c r="H56" s="21" t="s">
        <v>20</v>
      </c>
      <c r="I56" s="76" t="e">
        <f>G55/G56-1</f>
        <v>#DIV/0!</v>
      </c>
    </row>
    <row r="57" spans="1:8" ht="21">
      <c r="A57" s="19" t="s">
        <v>127</v>
      </c>
      <c r="B57" s="19"/>
      <c r="D57" s="70">
        <f>IF(F45&gt;=250,1.2,IF(F45&gt;=100,0.9,0.8))</f>
        <v>0.8</v>
      </c>
      <c r="E57" s="21" t="s">
        <v>104</v>
      </c>
      <c r="F57" s="20" t="s">
        <v>21</v>
      </c>
      <c r="G57" s="77">
        <f>1/D57-0.16</f>
        <v>1.09</v>
      </c>
      <c r="H57" s="21" t="s">
        <v>20</v>
      </c>
    </row>
    <row r="58" spans="1:8" ht="21">
      <c r="A58" s="19" t="s">
        <v>128</v>
      </c>
      <c r="B58" s="19"/>
      <c r="D58" s="70">
        <f>IF(F45&gt;=250,1,IF(F45&gt;=100,0.9,0.7))</f>
        <v>0.7</v>
      </c>
      <c r="E58" s="21" t="s">
        <v>104</v>
      </c>
      <c r="F58" s="20" t="s">
        <v>21</v>
      </c>
      <c r="G58" s="77">
        <f>1/D58-0.16</f>
        <v>1.2685714285714287</v>
      </c>
      <c r="H58" s="21" t="s">
        <v>20</v>
      </c>
    </row>
    <row r="59" spans="1:8" ht="21">
      <c r="A59" s="19" t="s">
        <v>129</v>
      </c>
      <c r="B59" s="19"/>
      <c r="D59" s="70">
        <f>IF(F45&gt;=250,0.6,IF(F45&gt;=100,0.6,0.45))</f>
        <v>0.45</v>
      </c>
      <c r="E59" s="21" t="s">
        <v>104</v>
      </c>
      <c r="F59" s="20" t="s">
        <v>21</v>
      </c>
      <c r="G59" s="77">
        <f>1/D59-0.16</f>
        <v>2.062222222222222</v>
      </c>
      <c r="H59" s="21" t="s">
        <v>20</v>
      </c>
    </row>
    <row r="60" spans="1:8" ht="19.5">
      <c r="A60" s="19"/>
      <c r="B60" s="19"/>
      <c r="D60" s="70"/>
      <c r="E60" s="21"/>
      <c r="F60" s="20"/>
      <c r="G60" s="65"/>
      <c r="H60" s="21"/>
    </row>
    <row r="63" spans="1:7" s="3" customFormat="1" ht="48.75" customHeight="1">
      <c r="A63" s="82" t="s">
        <v>101</v>
      </c>
      <c r="B63" s="82"/>
      <c r="D63" s="80" t="e">
        <f>IF(G55&gt;=G56,"עונה","אינה עונה")</f>
        <v>#DIV/0!</v>
      </c>
      <c r="E63" s="92" t="s">
        <v>148</v>
      </c>
      <c r="F63" s="92"/>
      <c r="G63" s="83"/>
    </row>
    <row r="64" spans="1:7" s="3" customFormat="1" ht="53.25" customHeight="1">
      <c r="A64" s="82" t="s">
        <v>101</v>
      </c>
      <c r="B64" s="82"/>
      <c r="D64" s="81" t="e">
        <f>IF(AND(G55&gt;=G57,F45&lt;100),"*עונה",IF(AND(G55&gt;=G57),"עונה","אינה עונה"))</f>
        <v>#DIV/0!</v>
      </c>
      <c r="E64" s="92" t="s">
        <v>147</v>
      </c>
      <c r="F64" s="92"/>
      <c r="G64" s="84" t="e">
        <f>IF(G55&gt;=G59,"A דרגה",IF(G55&gt;=G58,"B דרגה",IF(G55&gt;=G57,"C,D,E דרגה"," ")))</f>
        <v>#DIV/0!</v>
      </c>
    </row>
    <row r="65" spans="1:8" ht="62.25" customHeight="1">
      <c r="A65" s="100" t="e">
        <f>IF(AND(F45&lt;100,G45&gt;=G57),"*שים לב, קיר חוץ זה מוגדר כאלמנט קל והוא עונה לדרישות תקן 5282 בתנאי שהוא ממוקם במבנה כבד בלבד"," ")</f>
        <v>#DIV/0!</v>
      </c>
      <c r="B65" s="100"/>
      <c r="C65" s="100"/>
      <c r="D65" s="100"/>
      <c r="E65" s="100"/>
      <c r="F65" s="100"/>
      <c r="G65" s="100"/>
      <c r="H65" s="100"/>
    </row>
    <row r="66" spans="1:8" ht="22.5">
      <c r="A66" s="72"/>
      <c r="B66" s="72"/>
      <c r="C66" s="72"/>
      <c r="D66" s="72"/>
      <c r="E66" s="72"/>
      <c r="F66" s="72"/>
      <c r="G66" s="72"/>
      <c r="H66" s="72"/>
    </row>
    <row r="67" spans="1:8" ht="144.75" customHeight="1">
      <c r="A67" s="93" t="s">
        <v>134</v>
      </c>
      <c r="B67" s="94"/>
      <c r="C67" s="94"/>
      <c r="D67" s="94"/>
      <c r="E67" s="94"/>
      <c r="F67" s="94"/>
      <c r="G67" s="94"/>
      <c r="H67" s="94"/>
    </row>
    <row r="68" spans="1:8" ht="167.25" customHeight="1">
      <c r="A68" s="101" t="s">
        <v>135</v>
      </c>
      <c r="B68" s="102"/>
      <c r="C68" s="102"/>
      <c r="D68" s="102"/>
      <c r="E68" s="102"/>
      <c r="F68" s="102"/>
      <c r="G68" s="102"/>
      <c r="H68" s="102"/>
    </row>
    <row r="69" spans="1:8" ht="22.5">
      <c r="A69" s="72"/>
      <c r="B69" s="72"/>
      <c r="C69" s="72"/>
      <c r="D69" s="72"/>
      <c r="E69" s="72"/>
      <c r="F69" s="72"/>
      <c r="G69" s="72"/>
      <c r="H69" s="72"/>
    </row>
    <row r="71" spans="1:8" ht="12">
      <c r="A71" s="99" t="s">
        <v>105</v>
      </c>
      <c r="B71" s="99"/>
      <c r="C71" s="99"/>
      <c r="D71" s="99"/>
      <c r="E71" s="99"/>
      <c r="F71" s="99"/>
      <c r="G71" s="99"/>
      <c r="H71" s="99"/>
    </row>
    <row r="72" spans="1:8" ht="12">
      <c r="A72" s="99"/>
      <c r="B72" s="99"/>
      <c r="C72" s="99"/>
      <c r="D72" s="99"/>
      <c r="E72" s="99"/>
      <c r="F72" s="99"/>
      <c r="G72" s="99"/>
      <c r="H72" s="99"/>
    </row>
  </sheetData>
  <sheetProtection password="CB43" sheet="1"/>
  <protectedRanges>
    <protectedRange sqref="A8:A19 A21:A44" name="טווח3"/>
    <protectedRange sqref="A3:G3 A2:F2" name="טווח2"/>
    <protectedRange sqref="A20" name="טווח3_1"/>
    <protectedRange sqref="C8:C44" name="טווח1_1_1"/>
    <protectedRange sqref="G2" name="טווח2_2_2_1"/>
  </protectedRanges>
  <mergeCells count="14">
    <mergeCell ref="A67:H67"/>
    <mergeCell ref="A68:H68"/>
    <mergeCell ref="E64:F64"/>
    <mergeCell ref="E63:F63"/>
    <mergeCell ref="A3:G3"/>
    <mergeCell ref="A5:G5"/>
    <mergeCell ref="A49:H49"/>
    <mergeCell ref="C50:D50"/>
    <mergeCell ref="G50:H50"/>
    <mergeCell ref="A71:H72"/>
    <mergeCell ref="C51:D51"/>
    <mergeCell ref="G51:H51"/>
    <mergeCell ref="F54:H54"/>
    <mergeCell ref="A65:H65"/>
  </mergeCells>
  <printOptions horizontalCentered="1" verticalCentered="1"/>
  <pageMargins left="0.7480314960629921" right="0.7480314960629921" top="0.984251968503937" bottom="0.984251968503937" header="0.5118110236220472" footer="0.5118110236220472"/>
  <pageSetup fitToHeight="1" fitToWidth="1" horizontalDpi="300" verticalDpi="300" orientation="portrait" paperSize="9" scale="35" r:id="rId2"/>
  <headerFooter alignWithMargins="0">
    <oddHeader>&amp;C&amp;F
&amp;A</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I73"/>
  <sheetViews>
    <sheetView rightToLeft="1" view="pageBreakPreview" zoomScale="95" zoomScaleSheetLayoutView="95" zoomScalePageLayoutView="0" workbookViewId="0" topLeftCell="A27">
      <selection activeCell="C8" sqref="C8:C44"/>
    </sheetView>
  </sheetViews>
  <sheetFormatPr defaultColWidth="9.140625" defaultRowHeight="12.75"/>
  <cols>
    <col min="1" max="1" width="38.140625" style="0" customWidth="1"/>
    <col min="2" max="2" width="24.57421875" style="0" customWidth="1"/>
    <col min="3" max="3" width="12.140625" style="0" customWidth="1"/>
    <col min="4" max="4" width="18.00390625" style="0" customWidth="1"/>
    <col min="5" max="5" width="18.8515625" style="0" customWidth="1"/>
    <col min="6" max="6" width="17.421875" style="0" customWidth="1"/>
    <col min="7" max="7" width="15.57421875" style="0" customWidth="1"/>
    <col min="8" max="8" width="15.00390625" style="0" customWidth="1"/>
    <col min="9" max="9" width="9.8515625" style="0" bestFit="1" customWidth="1"/>
  </cols>
  <sheetData>
    <row r="1" ht="46.5" customHeight="1"/>
    <row r="2" spans="1:7" s="3" customFormat="1" ht="66.75" customHeight="1">
      <c r="A2" s="54"/>
      <c r="B2" s="54"/>
      <c r="C2" s="54"/>
      <c r="F2" s="41" t="s">
        <v>106</v>
      </c>
      <c r="G2" s="6" t="s">
        <v>150</v>
      </c>
    </row>
    <row r="3" spans="1:7" ht="24.75">
      <c r="A3" s="103" t="s">
        <v>32</v>
      </c>
      <c r="B3" s="87"/>
      <c r="C3" s="87"/>
      <c r="D3" s="87"/>
      <c r="E3" s="87"/>
      <c r="F3" s="87"/>
      <c r="G3" s="87"/>
    </row>
    <row r="4" spans="1:2" ht="18" thickBot="1">
      <c r="A4" s="7"/>
      <c r="B4" s="7"/>
    </row>
    <row r="5" spans="1:7" ht="20.25" thickBot="1">
      <c r="A5" s="96" t="s">
        <v>23</v>
      </c>
      <c r="B5" s="97"/>
      <c r="C5" s="97"/>
      <c r="D5" s="97"/>
      <c r="E5" s="97"/>
      <c r="F5" s="97"/>
      <c r="G5" s="98"/>
    </row>
    <row r="6" spans="1:7" s="3" customFormat="1" ht="53.25" customHeight="1" thickBot="1">
      <c r="A6" s="1" t="s">
        <v>0</v>
      </c>
      <c r="B6" s="42"/>
      <c r="C6" s="2" t="s">
        <v>2</v>
      </c>
      <c r="D6" s="55" t="s">
        <v>1</v>
      </c>
      <c r="E6" s="55" t="s">
        <v>12</v>
      </c>
      <c r="F6" s="55" t="s">
        <v>14</v>
      </c>
      <c r="G6" s="56" t="s">
        <v>3</v>
      </c>
    </row>
    <row r="7" spans="1:7" s="3" customFormat="1" ht="19.5">
      <c r="A7" s="4"/>
      <c r="B7" s="44"/>
      <c r="C7" s="5" t="s">
        <v>7</v>
      </c>
      <c r="D7" s="57" t="s">
        <v>6</v>
      </c>
      <c r="E7" s="57" t="s">
        <v>5</v>
      </c>
      <c r="F7" s="57" t="s">
        <v>4</v>
      </c>
      <c r="G7" s="58" t="s">
        <v>10</v>
      </c>
    </row>
    <row r="8" spans="1:7" s="3" customFormat="1" ht="30.75">
      <c r="A8" s="9" t="s">
        <v>13</v>
      </c>
      <c r="B8" s="45"/>
      <c r="C8" s="24">
        <v>0</v>
      </c>
      <c r="D8" s="49">
        <v>2.3</v>
      </c>
      <c r="E8" s="50">
        <v>2600</v>
      </c>
      <c r="F8" s="59">
        <f>0.5*C8*0.01*E8</f>
        <v>0</v>
      </c>
      <c r="G8" s="60">
        <f>C8*0.01/D8</f>
        <v>0</v>
      </c>
    </row>
    <row r="9" spans="1:7" s="3" customFormat="1" ht="15">
      <c r="A9" s="9" t="s">
        <v>66</v>
      </c>
      <c r="B9" s="45"/>
      <c r="C9" s="86">
        <v>0</v>
      </c>
      <c r="D9" s="49">
        <v>1.4</v>
      </c>
      <c r="E9" s="50">
        <v>2000</v>
      </c>
      <c r="F9" s="59">
        <f>0.5*C9*0.01*E9</f>
        <v>0</v>
      </c>
      <c r="G9" s="60">
        <f>C9*0.01/D9</f>
        <v>0</v>
      </c>
    </row>
    <row r="10" spans="1:7" s="3" customFormat="1" ht="15">
      <c r="A10" s="9" t="s">
        <v>29</v>
      </c>
      <c r="B10" s="45"/>
      <c r="C10" s="86">
        <v>0</v>
      </c>
      <c r="D10" s="49">
        <v>0.87</v>
      </c>
      <c r="E10" s="50">
        <v>1800</v>
      </c>
      <c r="F10" s="59">
        <f>0.5*C10*0.01*E10</f>
        <v>0</v>
      </c>
      <c r="G10" s="60">
        <f>C10*0.01/D10</f>
        <v>0</v>
      </c>
    </row>
    <row r="11" spans="1:7" s="3" customFormat="1" ht="15">
      <c r="A11" s="9" t="s">
        <v>15</v>
      </c>
      <c r="B11" s="45"/>
      <c r="C11" s="86">
        <v>0</v>
      </c>
      <c r="D11" s="49">
        <v>1.4</v>
      </c>
      <c r="E11" s="50">
        <v>2000</v>
      </c>
      <c r="F11" s="59">
        <f>0.5*C11*0.01*E11</f>
        <v>0</v>
      </c>
      <c r="G11" s="60">
        <f>C11*0.01/D11</f>
        <v>0</v>
      </c>
    </row>
    <row r="12" spans="1:7" s="3" customFormat="1" ht="15">
      <c r="A12" s="9" t="s">
        <v>25</v>
      </c>
      <c r="B12" s="45"/>
      <c r="C12" s="86">
        <v>0</v>
      </c>
      <c r="D12" s="49">
        <v>2.1</v>
      </c>
      <c r="E12" s="50">
        <v>2400</v>
      </c>
      <c r="F12" s="59">
        <f>0.5*C12*0.01*E12</f>
        <v>0</v>
      </c>
      <c r="G12" s="60">
        <f>C12*0.01/D12</f>
        <v>0</v>
      </c>
    </row>
    <row r="13" spans="1:7" s="3" customFormat="1" ht="27.75" customHeight="1">
      <c r="A13" s="9" t="s">
        <v>107</v>
      </c>
      <c r="B13" s="45"/>
      <c r="C13" s="86">
        <v>0</v>
      </c>
      <c r="D13" s="49" t="s">
        <v>67</v>
      </c>
      <c r="E13" s="50">
        <v>0</v>
      </c>
      <c r="F13" s="59">
        <f aca="true" t="shared" si="0" ref="F13:F19">C13*0.01*E13</f>
        <v>0</v>
      </c>
      <c r="G13" s="60">
        <f>IF(C13&lt;1.3,0,IF(C13&lt;2,0.15,0.16))</f>
        <v>0</v>
      </c>
    </row>
    <row r="14" spans="1:7" s="3" customFormat="1" ht="30.75">
      <c r="A14" s="9" t="s">
        <v>108</v>
      </c>
      <c r="B14" s="45"/>
      <c r="C14" s="86">
        <v>0</v>
      </c>
      <c r="D14" s="49">
        <v>0.04</v>
      </c>
      <c r="E14" s="50">
        <v>30</v>
      </c>
      <c r="F14" s="59">
        <f t="shared" si="0"/>
        <v>0</v>
      </c>
      <c r="G14" s="60">
        <f aca="true" t="shared" si="1" ref="G14:G35">C14*0.01/D14</f>
        <v>0</v>
      </c>
    </row>
    <row r="15" spans="1:7" s="3" customFormat="1" ht="30.75">
      <c r="A15" s="9" t="s">
        <v>109</v>
      </c>
      <c r="B15" s="45"/>
      <c r="C15" s="86">
        <v>0</v>
      </c>
      <c r="D15" s="49">
        <v>0.032</v>
      </c>
      <c r="E15" s="50">
        <v>30</v>
      </c>
      <c r="F15" s="59">
        <f t="shared" si="0"/>
        <v>0</v>
      </c>
      <c r="G15" s="60">
        <f>C15*0.01/D15</f>
        <v>0</v>
      </c>
    </row>
    <row r="16" spans="1:7" s="3" customFormat="1" ht="15">
      <c r="A16" s="9" t="s">
        <v>110</v>
      </c>
      <c r="B16" s="45"/>
      <c r="C16" s="86">
        <v>0</v>
      </c>
      <c r="D16" s="49">
        <v>0.03</v>
      </c>
      <c r="E16" s="50">
        <v>27</v>
      </c>
      <c r="F16" s="59">
        <f t="shared" si="0"/>
        <v>0</v>
      </c>
      <c r="G16" s="60">
        <f>C16*0.01/D16</f>
        <v>0</v>
      </c>
    </row>
    <row r="17" spans="1:7" s="3" customFormat="1" ht="15">
      <c r="A17" s="10" t="s">
        <v>68</v>
      </c>
      <c r="B17" s="46"/>
      <c r="C17" s="86">
        <v>0</v>
      </c>
      <c r="D17" s="49">
        <v>0.04</v>
      </c>
      <c r="E17" s="50">
        <v>25</v>
      </c>
      <c r="F17" s="59">
        <f t="shared" si="0"/>
        <v>0</v>
      </c>
      <c r="G17" s="60">
        <f t="shared" si="1"/>
        <v>0</v>
      </c>
    </row>
    <row r="18" spans="1:7" s="3" customFormat="1" ht="15">
      <c r="A18" s="10" t="s">
        <v>69</v>
      </c>
      <c r="B18" s="46"/>
      <c r="C18" s="86">
        <v>0</v>
      </c>
      <c r="D18" s="49">
        <v>0.21</v>
      </c>
      <c r="E18" s="50">
        <v>900</v>
      </c>
      <c r="F18" s="59">
        <f t="shared" si="0"/>
        <v>0</v>
      </c>
      <c r="G18" s="60">
        <f t="shared" si="1"/>
        <v>0</v>
      </c>
    </row>
    <row r="19" spans="1:7" s="3" customFormat="1" ht="15">
      <c r="A19" s="10" t="s">
        <v>70</v>
      </c>
      <c r="B19" s="46"/>
      <c r="C19" s="86">
        <v>0</v>
      </c>
      <c r="D19" s="49">
        <v>0.58</v>
      </c>
      <c r="E19" s="50">
        <v>2000</v>
      </c>
      <c r="F19" s="59">
        <f t="shared" si="0"/>
        <v>0</v>
      </c>
      <c r="G19" s="60">
        <f t="shared" si="1"/>
        <v>0</v>
      </c>
    </row>
    <row r="20" spans="1:7" s="3" customFormat="1" ht="15">
      <c r="A20" s="10" t="s">
        <v>143</v>
      </c>
      <c r="B20" s="46" t="s">
        <v>144</v>
      </c>
      <c r="C20" s="86">
        <v>0</v>
      </c>
      <c r="D20" s="49">
        <v>0.09</v>
      </c>
      <c r="E20" s="50">
        <v>220</v>
      </c>
      <c r="F20" s="59">
        <f aca="true" t="shared" si="2" ref="F20:F25">1.04*C20*0.01*E20</f>
        <v>0</v>
      </c>
      <c r="G20" s="60">
        <f t="shared" si="1"/>
        <v>0</v>
      </c>
    </row>
    <row r="21" spans="1:7" s="3" customFormat="1" ht="15">
      <c r="A21" s="10" t="s">
        <v>71</v>
      </c>
      <c r="B21" s="46"/>
      <c r="C21" s="86">
        <v>0</v>
      </c>
      <c r="D21" s="49">
        <v>0.12</v>
      </c>
      <c r="E21" s="50">
        <v>335</v>
      </c>
      <c r="F21" s="59">
        <f t="shared" si="2"/>
        <v>0</v>
      </c>
      <c r="G21" s="60">
        <f t="shared" si="1"/>
        <v>0</v>
      </c>
    </row>
    <row r="22" spans="1:7" s="3" customFormat="1" ht="15">
      <c r="A22" s="10" t="s">
        <v>24</v>
      </c>
      <c r="B22" s="46"/>
      <c r="C22" s="86">
        <v>0</v>
      </c>
      <c r="D22" s="49">
        <v>0.14</v>
      </c>
      <c r="E22" s="50">
        <v>400</v>
      </c>
      <c r="F22" s="59">
        <f t="shared" si="2"/>
        <v>0</v>
      </c>
      <c r="G22" s="60">
        <f t="shared" si="1"/>
        <v>0</v>
      </c>
    </row>
    <row r="23" spans="1:7" s="3" customFormat="1" ht="15">
      <c r="A23" s="10" t="s">
        <v>22</v>
      </c>
      <c r="B23" s="46"/>
      <c r="C23" s="86">
        <v>0</v>
      </c>
      <c r="D23" s="49">
        <v>0.15</v>
      </c>
      <c r="E23" s="50">
        <v>475</v>
      </c>
      <c r="F23" s="59">
        <f t="shared" si="2"/>
        <v>0</v>
      </c>
      <c r="G23" s="60">
        <f t="shared" si="1"/>
        <v>0</v>
      </c>
    </row>
    <row r="24" spans="1:7" s="3" customFormat="1" ht="15">
      <c r="A24" s="10" t="s">
        <v>98</v>
      </c>
      <c r="B24" s="46"/>
      <c r="C24" s="86">
        <v>0</v>
      </c>
      <c r="D24" s="49">
        <v>0.16</v>
      </c>
      <c r="E24" s="50">
        <v>535</v>
      </c>
      <c r="F24" s="59">
        <f t="shared" si="2"/>
        <v>0</v>
      </c>
      <c r="G24" s="60">
        <f t="shared" si="1"/>
        <v>0</v>
      </c>
    </row>
    <row r="25" spans="1:7" s="3" customFormat="1" ht="15">
      <c r="A25" s="10" t="s">
        <v>99</v>
      </c>
      <c r="B25" s="46"/>
      <c r="C25" s="86">
        <v>0</v>
      </c>
      <c r="D25" s="49">
        <v>0.19</v>
      </c>
      <c r="E25" s="50">
        <v>600</v>
      </c>
      <c r="F25" s="59">
        <f t="shared" si="2"/>
        <v>0</v>
      </c>
      <c r="G25" s="60">
        <f t="shared" si="1"/>
        <v>0</v>
      </c>
    </row>
    <row r="26" spans="1:7" s="3" customFormat="1" ht="47.25">
      <c r="A26" s="9" t="s">
        <v>113</v>
      </c>
      <c r="B26" s="47" t="str">
        <f>IF(C26=0," ",IF(C26&lt;&gt;22,"עובי הבלוק האפשרי 
הינו 22 סמ' בלבד"," "))</f>
        <v> </v>
      </c>
      <c r="C26" s="86">
        <v>0</v>
      </c>
      <c r="D26" s="51">
        <f>0.22/0.93</f>
        <v>0.23655913978494622</v>
      </c>
      <c r="E26" s="50">
        <v>860</v>
      </c>
      <c r="F26" s="61">
        <f>IF(C26=0,C26*0.01*E26,IF(C26&lt;&gt;22,1/0,C26*0.01*E26))</f>
        <v>0</v>
      </c>
      <c r="G26" s="60">
        <f>IF(C26=22,C26*0.01/D26,0)</f>
        <v>0</v>
      </c>
    </row>
    <row r="27" spans="1:7" s="3" customFormat="1" ht="40.5" customHeight="1">
      <c r="A27" s="9" t="s">
        <v>111</v>
      </c>
      <c r="B27" s="47" t="str">
        <f>IF(C27=0," ",IF(C27&lt;&gt;20,"עובי הבלוק האפשרי 
הינו 20 סמ' בלבד"," "))</f>
        <v> </v>
      </c>
      <c r="C27" s="86">
        <v>0</v>
      </c>
      <c r="D27" s="51">
        <f>0.2/0.88</f>
        <v>0.2272727272727273</v>
      </c>
      <c r="E27" s="50">
        <v>745</v>
      </c>
      <c r="F27" s="61">
        <f>IF(C27=0,C27*0.01*E27,IF(C27&lt;&gt;20,1/0,C27*0.01*E27))</f>
        <v>0</v>
      </c>
      <c r="G27" s="60">
        <f>IF(C27=20,C27*0.01/D27,0)</f>
        <v>0</v>
      </c>
    </row>
    <row r="28" spans="1:7" s="3" customFormat="1" ht="42" customHeight="1">
      <c r="A28" s="9" t="s">
        <v>112</v>
      </c>
      <c r="B28" s="47" t="str">
        <f>IF(C28=0," ",IF(C28&lt;&gt;22,"עובי הבלוק האפשרי 
הינו 22 סמ' בלבד"," "))</f>
        <v> </v>
      </c>
      <c r="C28" s="86">
        <v>0</v>
      </c>
      <c r="D28" s="51">
        <f>0.22/0.88</f>
        <v>0.25</v>
      </c>
      <c r="E28" s="50">
        <v>795</v>
      </c>
      <c r="F28" s="61">
        <f>IF(C28=0,C28*0.01*E28,IF(C28&lt;&gt;22,1/0,C28*0.01*E28))</f>
        <v>0</v>
      </c>
      <c r="G28" s="60">
        <f>IF(C28=22,C28*0.01/D28,0)</f>
        <v>0</v>
      </c>
    </row>
    <row r="29" spans="1:7" s="3" customFormat="1" ht="42" customHeight="1">
      <c r="A29" s="9" t="s">
        <v>114</v>
      </c>
      <c r="B29" s="47" t="str">
        <f>IF(C29=0," ",IF(C29&lt;&gt;22,"עובי הבלוק האפשרי 
הינו 22 סמ' בלבד"," "))</f>
        <v> </v>
      </c>
      <c r="C29" s="86">
        <v>0</v>
      </c>
      <c r="D29" s="51">
        <f>0.22/0.78</f>
        <v>0.28205128205128205</v>
      </c>
      <c r="E29" s="50">
        <v>848</v>
      </c>
      <c r="F29" s="61">
        <f>IF(C29=0,C29*0.01*E29,IF(C29&lt;&gt;22,1/0,C29*0.01*E29))</f>
        <v>0</v>
      </c>
      <c r="G29" s="60">
        <f>IF(C29=22,C29*0.01/D29,0)</f>
        <v>0</v>
      </c>
    </row>
    <row r="30" spans="1:7" s="3" customFormat="1" ht="42" customHeight="1">
      <c r="A30" s="9" t="s">
        <v>115</v>
      </c>
      <c r="B30" s="47" t="str">
        <f>IF(C30=0," ",IF(C30&lt;&gt;20,"עובי הבלוק האפשרי 
הינו 20 סמ' בלבד"," "))</f>
        <v> </v>
      </c>
      <c r="C30" s="86">
        <v>0</v>
      </c>
      <c r="D30" s="51">
        <f>0.2/0.73</f>
        <v>0.27397260273972607</v>
      </c>
      <c r="E30" s="50">
        <v>825</v>
      </c>
      <c r="F30" s="61">
        <f>IF(C30=0,C30*0.01*E30,IF(C30&lt;&gt;20,1/0,C30*0.01*E30))</f>
        <v>0</v>
      </c>
      <c r="G30" s="60">
        <f>IF(C30=20,C30*0.01/D30,0)</f>
        <v>0</v>
      </c>
    </row>
    <row r="31" spans="1:7" s="3" customFormat="1" ht="16.5">
      <c r="A31" s="10" t="s">
        <v>116</v>
      </c>
      <c r="B31" s="47" t="str">
        <f>IF(C31=0," ",IF(C31&lt;&gt;25,"עובי הבלוק האפשרי 
הינו 25 סמ' בלבד"," "))</f>
        <v> </v>
      </c>
      <c r="C31" s="86">
        <v>0</v>
      </c>
      <c r="D31" s="51">
        <f>0.25/2.9</f>
        <v>0.08620689655172414</v>
      </c>
      <c r="E31" s="50">
        <f>(14/25)*850</f>
        <v>476.00000000000006</v>
      </c>
      <c r="F31" s="61">
        <f>IF(C31=0,C31*0.01*E31,IF(C31&lt;&gt;25,1/0,C31*0.01*E31))</f>
        <v>0</v>
      </c>
      <c r="G31" s="60">
        <f t="shared" si="1"/>
        <v>0</v>
      </c>
    </row>
    <row r="32" spans="1:7" s="3" customFormat="1" ht="15">
      <c r="A32" s="10" t="s">
        <v>74</v>
      </c>
      <c r="B32" s="46"/>
      <c r="C32" s="86">
        <v>0</v>
      </c>
      <c r="D32" s="51">
        <f>0.2/0.45</f>
        <v>0.4444444444444445</v>
      </c>
      <c r="E32" s="50">
        <v>1300</v>
      </c>
      <c r="F32" s="59">
        <f aca="true" t="shared" si="3" ref="F32:F44">C32*0.01*E32</f>
        <v>0</v>
      </c>
      <c r="G32" s="60">
        <f t="shared" si="1"/>
        <v>0</v>
      </c>
    </row>
    <row r="33" spans="1:7" s="3" customFormat="1" ht="15">
      <c r="A33" s="10" t="s">
        <v>100</v>
      </c>
      <c r="B33" s="46"/>
      <c r="C33" s="86">
        <v>0</v>
      </c>
      <c r="D33" s="51">
        <v>0.235</v>
      </c>
      <c r="E33" s="50">
        <v>780</v>
      </c>
      <c r="F33" s="59">
        <f t="shared" si="3"/>
        <v>0</v>
      </c>
      <c r="G33" s="60">
        <f t="shared" si="1"/>
        <v>0</v>
      </c>
    </row>
    <row r="34" spans="1:7" s="3" customFormat="1" ht="15">
      <c r="A34" s="9" t="s">
        <v>25</v>
      </c>
      <c r="B34" s="45"/>
      <c r="C34" s="86">
        <v>0</v>
      </c>
      <c r="D34" s="49">
        <v>2.1</v>
      </c>
      <c r="E34" s="50">
        <v>2400</v>
      </c>
      <c r="F34" s="59">
        <f t="shared" si="3"/>
        <v>0</v>
      </c>
      <c r="G34" s="60">
        <f t="shared" si="1"/>
        <v>0</v>
      </c>
    </row>
    <row r="35" spans="1:7" s="3" customFormat="1" ht="15">
      <c r="A35" s="10" t="s">
        <v>68</v>
      </c>
      <c r="B35" s="46"/>
      <c r="C35" s="86">
        <v>0</v>
      </c>
      <c r="D35" s="49">
        <v>0.04</v>
      </c>
      <c r="E35" s="50">
        <v>25</v>
      </c>
      <c r="F35" s="59">
        <f t="shared" si="3"/>
        <v>0</v>
      </c>
      <c r="G35" s="60">
        <f t="shared" si="1"/>
        <v>0</v>
      </c>
    </row>
    <row r="36" spans="1:7" s="3" customFormat="1" ht="30.75" customHeight="1">
      <c r="A36" s="9" t="s">
        <v>107</v>
      </c>
      <c r="B36" s="45"/>
      <c r="C36" s="86">
        <v>0</v>
      </c>
      <c r="D36" s="49" t="s">
        <v>67</v>
      </c>
      <c r="E36" s="50">
        <v>0</v>
      </c>
      <c r="F36" s="59">
        <f t="shared" si="3"/>
        <v>0</v>
      </c>
      <c r="G36" s="60">
        <f>IF(C36&lt;1.3,0,IF(C36&lt;2,0.15,0.16))</f>
        <v>0</v>
      </c>
    </row>
    <row r="37" spans="1:7" s="3" customFormat="1" ht="30.75" customHeight="1">
      <c r="A37" s="9" t="s">
        <v>108</v>
      </c>
      <c r="B37" s="45"/>
      <c r="C37" s="86">
        <v>0</v>
      </c>
      <c r="D37" s="49">
        <v>0.04</v>
      </c>
      <c r="E37" s="50">
        <v>30</v>
      </c>
      <c r="F37" s="59">
        <f t="shared" si="3"/>
        <v>0</v>
      </c>
      <c r="G37" s="60">
        <f aca="true" t="shared" si="4" ref="G37:G44">C37*0.01/D37</f>
        <v>0</v>
      </c>
    </row>
    <row r="38" spans="1:7" s="3" customFormat="1" ht="45.75" customHeight="1">
      <c r="A38" s="9" t="s">
        <v>109</v>
      </c>
      <c r="B38" s="45"/>
      <c r="C38" s="86">
        <v>0</v>
      </c>
      <c r="D38" s="49">
        <v>0.032</v>
      </c>
      <c r="E38" s="50">
        <v>30</v>
      </c>
      <c r="F38" s="59">
        <f t="shared" si="3"/>
        <v>0</v>
      </c>
      <c r="G38" s="60">
        <f t="shared" si="4"/>
        <v>0</v>
      </c>
    </row>
    <row r="39" spans="1:7" s="3" customFormat="1" ht="15">
      <c r="A39" s="9" t="s">
        <v>110</v>
      </c>
      <c r="B39" s="45"/>
      <c r="C39" s="86">
        <v>0</v>
      </c>
      <c r="D39" s="51">
        <v>0.03</v>
      </c>
      <c r="E39" s="50">
        <v>27</v>
      </c>
      <c r="F39" s="59">
        <f t="shared" si="3"/>
        <v>0</v>
      </c>
      <c r="G39" s="60">
        <f t="shared" si="4"/>
        <v>0</v>
      </c>
    </row>
    <row r="40" spans="1:7" s="3" customFormat="1" ht="15">
      <c r="A40" s="10" t="s">
        <v>69</v>
      </c>
      <c r="B40" s="46"/>
      <c r="C40" s="86">
        <v>0</v>
      </c>
      <c r="D40" s="49">
        <v>0.21</v>
      </c>
      <c r="E40" s="50">
        <v>900</v>
      </c>
      <c r="F40" s="59">
        <f t="shared" si="3"/>
        <v>0</v>
      </c>
      <c r="G40" s="60">
        <f t="shared" si="4"/>
        <v>0</v>
      </c>
    </row>
    <row r="41" spans="1:7" s="3" customFormat="1" ht="15">
      <c r="A41" s="10" t="s">
        <v>72</v>
      </c>
      <c r="B41" s="46"/>
      <c r="C41" s="86">
        <v>0</v>
      </c>
      <c r="D41" s="49">
        <v>0.14</v>
      </c>
      <c r="E41" s="50">
        <v>450</v>
      </c>
      <c r="F41" s="59">
        <f t="shared" si="3"/>
        <v>0</v>
      </c>
      <c r="G41" s="60">
        <f t="shared" si="4"/>
        <v>0</v>
      </c>
    </row>
    <row r="42" spans="1:7" s="3" customFormat="1" ht="15">
      <c r="A42" s="10" t="s">
        <v>73</v>
      </c>
      <c r="B42" s="46"/>
      <c r="C42" s="86">
        <v>0</v>
      </c>
      <c r="D42" s="49">
        <v>0.08</v>
      </c>
      <c r="E42" s="50">
        <v>200</v>
      </c>
      <c r="F42" s="59">
        <f t="shared" si="3"/>
        <v>0</v>
      </c>
      <c r="G42" s="60">
        <f t="shared" si="4"/>
        <v>0</v>
      </c>
    </row>
    <row r="43" spans="1:7" s="3" customFormat="1" ht="15">
      <c r="A43" s="9" t="s">
        <v>29</v>
      </c>
      <c r="B43" s="45"/>
      <c r="C43" s="86">
        <v>0</v>
      </c>
      <c r="D43" s="49">
        <v>0.87</v>
      </c>
      <c r="E43" s="50">
        <v>1800</v>
      </c>
      <c r="F43" s="59">
        <f t="shared" si="3"/>
        <v>0</v>
      </c>
      <c r="G43" s="60">
        <f t="shared" si="4"/>
        <v>0</v>
      </c>
    </row>
    <row r="44" spans="1:7" s="3" customFormat="1" ht="15.75" thickBot="1">
      <c r="A44" s="11" t="s">
        <v>8</v>
      </c>
      <c r="B44" s="48"/>
      <c r="C44" s="86">
        <v>0</v>
      </c>
      <c r="D44" s="52">
        <v>0.35</v>
      </c>
      <c r="E44" s="53">
        <v>1200</v>
      </c>
      <c r="F44" s="62">
        <f t="shared" si="3"/>
        <v>0</v>
      </c>
      <c r="G44" s="63">
        <f t="shared" si="4"/>
        <v>0</v>
      </c>
    </row>
    <row r="45" spans="1:7" s="6" customFormat="1" ht="18.75" thickBot="1" thickTop="1">
      <c r="A45" s="12" t="s">
        <v>11</v>
      </c>
      <c r="B45" s="43"/>
      <c r="C45" s="13">
        <f>SUM(C8:C44)</f>
        <v>0</v>
      </c>
      <c r="D45" s="13"/>
      <c r="E45" s="13"/>
      <c r="F45" s="68">
        <f>SUM(F8:F44)</f>
        <v>0</v>
      </c>
      <c r="G45" s="85" t="e">
        <f>IF(F45&gt;0,SUM(G8:G44),1/0)</f>
        <v>#DIV/0!</v>
      </c>
    </row>
    <row r="49" spans="1:8" s="15" customFormat="1" ht="27" customHeight="1">
      <c r="A49" s="88" t="s">
        <v>124</v>
      </c>
      <c r="B49" s="88"/>
      <c r="C49" s="88"/>
      <c r="D49" s="88"/>
      <c r="E49" s="88"/>
      <c r="F49" s="88"/>
      <c r="G49" s="88"/>
      <c r="H49" s="88"/>
    </row>
    <row r="50" spans="3:8" s="22" customFormat="1" ht="43.5" customHeight="1">
      <c r="C50" s="89" t="s">
        <v>16</v>
      </c>
      <c r="D50" s="89"/>
      <c r="E50" s="69">
        <f>F45</f>
        <v>0</v>
      </c>
      <c r="F50" s="23" t="s">
        <v>17</v>
      </c>
      <c r="G50" s="91" t="s">
        <v>122</v>
      </c>
      <c r="H50" s="91"/>
    </row>
    <row r="51" spans="1:8" s="22" customFormat="1" ht="42" customHeight="1">
      <c r="A51" s="14"/>
      <c r="B51" s="14"/>
      <c r="C51" s="88" t="s">
        <v>149</v>
      </c>
      <c r="D51" s="88"/>
      <c r="E51" s="16" t="s">
        <v>19</v>
      </c>
      <c r="F51" s="78">
        <f>IF($F$45&gt;300,0.8,IF($F$45&gt;200,1.4-0.002*$F$45,IF($F$45&gt;150,1.8-0.004*$F$45,IF($F$45&gt;100,2.1-0.006*$F$45,1.5))))</f>
        <v>1.5</v>
      </c>
      <c r="G51" s="90" t="s">
        <v>123</v>
      </c>
      <c r="H51" s="90"/>
    </row>
    <row r="52" s="15" customFormat="1" ht="12">
      <c r="D52" s="17"/>
    </row>
    <row r="53" spans="1:2" s="15" customFormat="1" ht="18">
      <c r="A53" s="18" t="s">
        <v>9</v>
      </c>
      <c r="B53" s="18"/>
    </row>
    <row r="54" spans="1:8" s="15" customFormat="1" ht="20.25" customHeight="1">
      <c r="A54" s="19" t="s">
        <v>131</v>
      </c>
      <c r="B54" s="19"/>
      <c r="F54" s="95" t="str">
        <f>IF(F45&gt;250,"אלמנט כבד",IF(F45&gt;100,"אלמנט חצי כבד","!!!אלמנט קל"))</f>
        <v>!!!אלמנט קל</v>
      </c>
      <c r="G54" s="95"/>
      <c r="H54" s="95"/>
    </row>
    <row r="55" spans="1:8" s="15" customFormat="1" ht="21">
      <c r="A55" s="19" t="s">
        <v>132</v>
      </c>
      <c r="B55" s="19"/>
      <c r="F55" s="20" t="s">
        <v>21</v>
      </c>
      <c r="G55" s="77" t="e">
        <f>G45</f>
        <v>#DIV/0!</v>
      </c>
      <c r="H55" s="21" t="s">
        <v>20</v>
      </c>
    </row>
    <row r="56" spans="1:8" s="15" customFormat="1" ht="19.5">
      <c r="A56" s="19" t="s">
        <v>142</v>
      </c>
      <c r="B56" s="19"/>
      <c r="F56" s="20" t="s">
        <v>141</v>
      </c>
      <c r="G56" s="77" t="e">
        <f>1/(G55+0.16)</f>
        <v>#DIV/0!</v>
      </c>
      <c r="H56" s="21" t="s">
        <v>104</v>
      </c>
    </row>
    <row r="57" spans="1:9" s="15" customFormat="1" ht="21">
      <c r="A57" s="19" t="s">
        <v>133</v>
      </c>
      <c r="B57" s="19"/>
      <c r="F57" s="20" t="s">
        <v>21</v>
      </c>
      <c r="G57" s="77">
        <f>F51</f>
        <v>1.5</v>
      </c>
      <c r="H57" s="21" t="s">
        <v>20</v>
      </c>
      <c r="I57" s="76" t="e">
        <f>G55/G57-1</f>
        <v>#DIV/0!</v>
      </c>
    </row>
    <row r="58" spans="1:8" ht="21">
      <c r="A58" s="19" t="s">
        <v>127</v>
      </c>
      <c r="B58" s="19"/>
      <c r="D58" s="70">
        <f>IF(F45&gt;=250,1,IF(F45&gt;=100,0.8,0.7))</f>
        <v>0.7</v>
      </c>
      <c r="E58" s="21" t="s">
        <v>104</v>
      </c>
      <c r="F58" s="20" t="s">
        <v>21</v>
      </c>
      <c r="G58" s="77">
        <f>1/D58-0.16</f>
        <v>1.2685714285714287</v>
      </c>
      <c r="H58" s="21" t="s">
        <v>20</v>
      </c>
    </row>
    <row r="59" spans="1:8" ht="21">
      <c r="A59" s="19" t="s">
        <v>128</v>
      </c>
      <c r="B59" s="19"/>
      <c r="D59" s="70">
        <f>IF(F45&gt;=250,0.7,IF(F45&gt;=100,0.7,0.6))</f>
        <v>0.6</v>
      </c>
      <c r="E59" s="21" t="s">
        <v>104</v>
      </c>
      <c r="F59" s="20" t="s">
        <v>21</v>
      </c>
      <c r="G59" s="77">
        <f>1/D59-0.16</f>
        <v>1.5066666666666668</v>
      </c>
      <c r="H59" s="21" t="s">
        <v>20</v>
      </c>
    </row>
    <row r="60" spans="1:8" ht="21">
      <c r="A60" s="19" t="s">
        <v>129</v>
      </c>
      <c r="B60" s="19"/>
      <c r="D60" s="70">
        <f>IF(F45&gt;=250,0.5,IF(F45&gt;=100,0.5,0.4))</f>
        <v>0.4</v>
      </c>
      <c r="E60" s="21" t="s">
        <v>104</v>
      </c>
      <c r="F60" s="20" t="s">
        <v>21</v>
      </c>
      <c r="G60" s="77">
        <f>1/D60-0.16</f>
        <v>2.34</v>
      </c>
      <c r="H60" s="21" t="s">
        <v>20</v>
      </c>
    </row>
    <row r="61" spans="1:8" ht="19.5">
      <c r="A61" s="19"/>
      <c r="B61" s="19"/>
      <c r="D61" s="70"/>
      <c r="E61" s="21"/>
      <c r="F61" s="20"/>
      <c r="G61" s="65"/>
      <c r="H61" s="21"/>
    </row>
    <row r="64" spans="1:8" ht="44.25" customHeight="1">
      <c r="A64" s="82" t="s">
        <v>101</v>
      </c>
      <c r="B64" s="82"/>
      <c r="C64" s="3"/>
      <c r="D64" s="80" t="e">
        <f>IF(G55&gt;=G57,"עונה","אינה עונה")</f>
        <v>#DIV/0!</v>
      </c>
      <c r="E64" s="92" t="s">
        <v>148</v>
      </c>
      <c r="F64" s="92"/>
      <c r="G64" s="83"/>
      <c r="H64" s="3"/>
    </row>
    <row r="65" spans="1:8" ht="44.25" customHeight="1">
      <c r="A65" s="82" t="s">
        <v>101</v>
      </c>
      <c r="B65" s="82"/>
      <c r="C65" s="3"/>
      <c r="D65" s="81" t="e">
        <f>IF(AND(G55&gt;=G58,F45&lt;100),"*עונה",IF(AND(G55&gt;=G58),"עונה","אינה עונה"))</f>
        <v>#DIV/0!</v>
      </c>
      <c r="E65" s="92" t="s">
        <v>147</v>
      </c>
      <c r="F65" s="92"/>
      <c r="G65" s="84" t="e">
        <f>IF(G55&gt;=G60,"A דרגה",IF(G55&gt;=G59,"B דרגה",IF(G55&gt;=G58,"C,D,E דרגה"," ")))</f>
        <v>#DIV/0!</v>
      </c>
      <c r="H65" s="3"/>
    </row>
    <row r="66" spans="1:8" ht="62.25" customHeight="1">
      <c r="A66" s="100" t="e">
        <f>IF(AND(F45&lt;100,G45&gt;=G58),"*שים לב, קיר חוץ זה מוגדר כאלמנט קל והוא עונה לדרישות תקן 5282 בתנאי שהוא ממוקם במבנה כבד בלבד"," ")</f>
        <v>#DIV/0!</v>
      </c>
      <c r="B66" s="100"/>
      <c r="C66" s="100"/>
      <c r="D66" s="100"/>
      <c r="E66" s="100"/>
      <c r="F66" s="100"/>
      <c r="G66" s="100"/>
      <c r="H66" s="100"/>
    </row>
    <row r="67" spans="1:8" ht="22.5">
      <c r="A67" s="72"/>
      <c r="B67" s="72"/>
      <c r="C67" s="72"/>
      <c r="D67" s="72"/>
      <c r="E67" s="72"/>
      <c r="F67" s="72"/>
      <c r="G67" s="72"/>
      <c r="H67" s="72"/>
    </row>
    <row r="68" spans="1:8" ht="143.25" customHeight="1">
      <c r="A68" s="93" t="s">
        <v>134</v>
      </c>
      <c r="B68" s="94"/>
      <c r="C68" s="94"/>
      <c r="D68" s="94"/>
      <c r="E68" s="94"/>
      <c r="F68" s="94"/>
      <c r="G68" s="94"/>
      <c r="H68" s="94"/>
    </row>
    <row r="69" spans="1:8" ht="167.25" customHeight="1">
      <c r="A69" s="101" t="s">
        <v>135</v>
      </c>
      <c r="B69" s="102"/>
      <c r="C69" s="102"/>
      <c r="D69" s="102"/>
      <c r="E69" s="102"/>
      <c r="F69" s="102"/>
      <c r="G69" s="102"/>
      <c r="H69" s="102"/>
    </row>
    <row r="70" spans="1:8" ht="22.5">
      <c r="A70" s="72"/>
      <c r="B70" s="72"/>
      <c r="C70" s="72"/>
      <c r="D70" s="72"/>
      <c r="E70" s="72"/>
      <c r="F70" s="72"/>
      <c r="G70" s="72"/>
      <c r="H70" s="72"/>
    </row>
    <row r="72" spans="1:8" ht="12.75" customHeight="1">
      <c r="A72" s="99" t="s">
        <v>105</v>
      </c>
      <c r="B72" s="99"/>
      <c r="C72" s="99"/>
      <c r="D72" s="99"/>
      <c r="E72" s="99"/>
      <c r="F72" s="99"/>
      <c r="G72" s="99"/>
      <c r="H72" s="99"/>
    </row>
    <row r="73" spans="1:8" ht="12.75" customHeight="1">
      <c r="A73" s="99"/>
      <c r="B73" s="99"/>
      <c r="C73" s="99"/>
      <c r="D73" s="99"/>
      <c r="E73" s="99"/>
      <c r="F73" s="99"/>
      <c r="G73" s="99"/>
      <c r="H73" s="99"/>
    </row>
  </sheetData>
  <sheetProtection password="CB43" sheet="1"/>
  <protectedRanges>
    <protectedRange sqref="A8:A19 A21:A44" name="טווח3"/>
    <protectedRange sqref="A3:G3 A2:F2" name="טווח2"/>
    <protectedRange sqref="A20" name="טווח3_1"/>
    <protectedRange sqref="C8:C44" name="טווח1_1_3"/>
    <protectedRange sqref="G2" name="טווח2_2_2_1"/>
  </protectedRanges>
  <mergeCells count="14">
    <mergeCell ref="A68:H68"/>
    <mergeCell ref="A69:H69"/>
    <mergeCell ref="E64:F64"/>
    <mergeCell ref="E65:F65"/>
    <mergeCell ref="A3:G3"/>
    <mergeCell ref="A5:G5"/>
    <mergeCell ref="A49:H49"/>
    <mergeCell ref="C50:D50"/>
    <mergeCell ref="G50:H50"/>
    <mergeCell ref="A72:H73"/>
    <mergeCell ref="C51:D51"/>
    <mergeCell ref="G51:H51"/>
    <mergeCell ref="F54:H54"/>
    <mergeCell ref="A66:H66"/>
  </mergeCells>
  <printOptions horizontalCentered="1" verticalCentered="1"/>
  <pageMargins left="0.7480314960629921" right="0.7480314960629921" top="0.984251968503937" bottom="0.984251968503937" header="0.5118110236220472" footer="0.5118110236220472"/>
  <pageSetup fitToHeight="1" fitToWidth="1" horizontalDpi="300" verticalDpi="300" orientation="portrait" paperSize="9" scale="34" r:id="rId2"/>
  <headerFooter alignWithMargins="0">
    <oddHeader>&amp;C&amp;F
&amp;A</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I72"/>
  <sheetViews>
    <sheetView rightToLeft="1" tabSelected="1" zoomScaleSheetLayoutView="50" zoomScalePageLayoutView="0" workbookViewId="0" topLeftCell="A44">
      <selection activeCell="A49" sqref="A49:I64"/>
    </sheetView>
  </sheetViews>
  <sheetFormatPr defaultColWidth="9.140625" defaultRowHeight="12.75"/>
  <cols>
    <col min="1" max="1" width="38.140625" style="0" customWidth="1"/>
    <col min="2" max="2" width="24.57421875" style="0" customWidth="1"/>
    <col min="3" max="3" width="12.140625" style="0" customWidth="1"/>
    <col min="4" max="4" width="18.00390625" style="0" customWidth="1"/>
    <col min="5" max="5" width="18.8515625" style="0" customWidth="1"/>
    <col min="6" max="6" width="17.421875" style="0" customWidth="1"/>
    <col min="7" max="7" width="15.57421875" style="0" customWidth="1"/>
    <col min="8" max="8" width="15.00390625" style="0" customWidth="1"/>
    <col min="9" max="9" width="9.8515625" style="0" bestFit="1" customWidth="1"/>
  </cols>
  <sheetData>
    <row r="1" ht="46.5" customHeight="1"/>
    <row r="2" spans="1:7" s="3" customFormat="1" ht="66.75" customHeight="1">
      <c r="A2" s="54"/>
      <c r="B2" s="54"/>
      <c r="C2" s="54"/>
      <c r="F2" s="41" t="s">
        <v>106</v>
      </c>
      <c r="G2" s="6" t="s">
        <v>150</v>
      </c>
    </row>
    <row r="3" spans="1:7" ht="24.75">
      <c r="A3" s="103" t="s">
        <v>33</v>
      </c>
      <c r="B3" s="87"/>
      <c r="C3" s="87"/>
      <c r="D3" s="87"/>
      <c r="E3" s="87"/>
      <c r="F3" s="87"/>
      <c r="G3" s="87"/>
    </row>
    <row r="4" spans="1:2" ht="18" thickBot="1">
      <c r="A4" s="7"/>
      <c r="B4" s="7"/>
    </row>
    <row r="5" spans="1:7" ht="20.25" thickBot="1">
      <c r="A5" s="96" t="s">
        <v>23</v>
      </c>
      <c r="B5" s="97"/>
      <c r="C5" s="97"/>
      <c r="D5" s="97"/>
      <c r="E5" s="97"/>
      <c r="F5" s="97"/>
      <c r="G5" s="98"/>
    </row>
    <row r="6" spans="1:7" s="3" customFormat="1" ht="53.25" customHeight="1" thickBot="1">
      <c r="A6" s="1" t="s">
        <v>0</v>
      </c>
      <c r="B6" s="42"/>
      <c r="C6" s="2" t="s">
        <v>2</v>
      </c>
      <c r="D6" s="55" t="s">
        <v>1</v>
      </c>
      <c r="E6" s="55" t="s">
        <v>12</v>
      </c>
      <c r="F6" s="55" t="s">
        <v>14</v>
      </c>
      <c r="G6" s="56" t="s">
        <v>3</v>
      </c>
    </row>
    <row r="7" spans="1:7" s="3" customFormat="1" ht="19.5">
      <c r="A7" s="4"/>
      <c r="B7" s="44"/>
      <c r="C7" s="5" t="s">
        <v>7</v>
      </c>
      <c r="D7" s="57" t="s">
        <v>6</v>
      </c>
      <c r="E7" s="57" t="s">
        <v>5</v>
      </c>
      <c r="F7" s="57" t="s">
        <v>4</v>
      </c>
      <c r="G7" s="58" t="s">
        <v>10</v>
      </c>
    </row>
    <row r="8" spans="1:7" s="3" customFormat="1" ht="30.75">
      <c r="A8" s="9" t="s">
        <v>13</v>
      </c>
      <c r="B8" s="45"/>
      <c r="C8" s="24">
        <v>0</v>
      </c>
      <c r="D8" s="49">
        <v>2.3</v>
      </c>
      <c r="E8" s="50">
        <v>2600</v>
      </c>
      <c r="F8" s="59">
        <f>0.5*C8*0.01*E8</f>
        <v>0</v>
      </c>
      <c r="G8" s="60">
        <f>C8*0.01/D8</f>
        <v>0</v>
      </c>
    </row>
    <row r="9" spans="1:7" s="3" customFormat="1" ht="15">
      <c r="A9" s="9" t="s">
        <v>66</v>
      </c>
      <c r="B9" s="45"/>
      <c r="C9" s="24">
        <v>0</v>
      </c>
      <c r="D9" s="49">
        <v>1.4</v>
      </c>
      <c r="E9" s="50">
        <v>2000</v>
      </c>
      <c r="F9" s="59">
        <f>0.5*C9*0.01*E9</f>
        <v>0</v>
      </c>
      <c r="G9" s="60">
        <f>C9*0.01/D9</f>
        <v>0</v>
      </c>
    </row>
    <row r="10" spans="1:7" s="3" customFormat="1" ht="15">
      <c r="A10" s="9" t="s">
        <v>29</v>
      </c>
      <c r="B10" s="45"/>
      <c r="C10" s="24">
        <v>2</v>
      </c>
      <c r="D10" s="49">
        <v>0.87</v>
      </c>
      <c r="E10" s="50">
        <v>1800</v>
      </c>
      <c r="F10" s="59">
        <f>0.5*C10*0.01*E10</f>
        <v>18</v>
      </c>
      <c r="G10" s="60">
        <f>C10*0.01/D10</f>
        <v>0.022988505747126436</v>
      </c>
    </row>
    <row r="11" spans="1:7" s="3" customFormat="1" ht="15">
      <c r="A11" s="9" t="s">
        <v>15</v>
      </c>
      <c r="B11" s="45"/>
      <c r="C11" s="24">
        <v>0</v>
      </c>
      <c r="D11" s="49">
        <v>1.4</v>
      </c>
      <c r="E11" s="50">
        <v>2000</v>
      </c>
      <c r="F11" s="59">
        <f>0.5*C11*0.01*E11</f>
        <v>0</v>
      </c>
      <c r="G11" s="60">
        <f>C11*0.01/D11</f>
        <v>0</v>
      </c>
    </row>
    <row r="12" spans="1:7" s="3" customFormat="1" ht="15">
      <c r="A12" s="9" t="s">
        <v>25</v>
      </c>
      <c r="B12" s="45"/>
      <c r="C12" s="24">
        <v>15</v>
      </c>
      <c r="D12" s="49">
        <v>2.1</v>
      </c>
      <c r="E12" s="50">
        <v>2400</v>
      </c>
      <c r="F12" s="59">
        <f>0.5*C12*0.01*E12</f>
        <v>180</v>
      </c>
      <c r="G12" s="60">
        <f>C12*0.01/D12</f>
        <v>0.07142857142857142</v>
      </c>
    </row>
    <row r="13" spans="1:7" s="3" customFormat="1" ht="27.75" customHeight="1">
      <c r="A13" s="9" t="s">
        <v>107</v>
      </c>
      <c r="B13" s="45"/>
      <c r="C13" s="24">
        <v>0</v>
      </c>
      <c r="D13" s="49" t="s">
        <v>67</v>
      </c>
      <c r="E13" s="50">
        <v>0</v>
      </c>
      <c r="F13" s="59">
        <f aca="true" t="shared" si="0" ref="F13:F19">C13*0.01*E13</f>
        <v>0</v>
      </c>
      <c r="G13" s="60">
        <f>IF(C13&lt;1.3,0,IF(C13&lt;2,0.15,0.16))</f>
        <v>0</v>
      </c>
    </row>
    <row r="14" spans="1:7" s="3" customFormat="1" ht="30.75">
      <c r="A14" s="9" t="s">
        <v>108</v>
      </c>
      <c r="B14" s="45"/>
      <c r="C14" s="24">
        <v>6.5</v>
      </c>
      <c r="D14" s="49">
        <v>0.04</v>
      </c>
      <c r="E14" s="50">
        <v>30</v>
      </c>
      <c r="F14" s="59">
        <f t="shared" si="0"/>
        <v>1.9500000000000002</v>
      </c>
      <c r="G14" s="60">
        <f aca="true" t="shared" si="1" ref="G14:G35">C14*0.01/D14</f>
        <v>1.625</v>
      </c>
    </row>
    <row r="15" spans="1:7" s="3" customFormat="1" ht="30.75">
      <c r="A15" s="9" t="s">
        <v>109</v>
      </c>
      <c r="B15" s="45"/>
      <c r="C15" s="24">
        <v>0</v>
      </c>
      <c r="D15" s="49">
        <v>0.032</v>
      </c>
      <c r="E15" s="50">
        <v>30</v>
      </c>
      <c r="F15" s="59">
        <f t="shared" si="0"/>
        <v>0</v>
      </c>
      <c r="G15" s="60">
        <f>C15*0.01/D15</f>
        <v>0</v>
      </c>
    </row>
    <row r="16" spans="1:7" s="3" customFormat="1" ht="15">
      <c r="A16" s="9" t="s">
        <v>110</v>
      </c>
      <c r="B16" s="45"/>
      <c r="C16" s="24">
        <v>0</v>
      </c>
      <c r="D16" s="49">
        <v>0.03</v>
      </c>
      <c r="E16" s="50">
        <v>27</v>
      </c>
      <c r="F16" s="59">
        <f t="shared" si="0"/>
        <v>0</v>
      </c>
      <c r="G16" s="60">
        <f>C16*0.01/D16</f>
        <v>0</v>
      </c>
    </row>
    <row r="17" spans="1:7" s="3" customFormat="1" ht="15">
      <c r="A17" s="10" t="s">
        <v>68</v>
      </c>
      <c r="B17" s="46"/>
      <c r="C17" s="24">
        <v>0</v>
      </c>
      <c r="D17" s="49">
        <v>0.04</v>
      </c>
      <c r="E17" s="50">
        <v>25</v>
      </c>
      <c r="F17" s="59">
        <f t="shared" si="0"/>
        <v>0</v>
      </c>
      <c r="G17" s="60">
        <f t="shared" si="1"/>
        <v>0</v>
      </c>
    </row>
    <row r="18" spans="1:7" s="3" customFormat="1" ht="15">
      <c r="A18" s="10" t="s">
        <v>69</v>
      </c>
      <c r="B18" s="46"/>
      <c r="C18" s="24">
        <v>0</v>
      </c>
      <c r="D18" s="49">
        <v>0.21</v>
      </c>
      <c r="E18" s="50">
        <v>900</v>
      </c>
      <c r="F18" s="59">
        <f t="shared" si="0"/>
        <v>0</v>
      </c>
      <c r="G18" s="60">
        <f t="shared" si="1"/>
        <v>0</v>
      </c>
    </row>
    <row r="19" spans="1:7" s="3" customFormat="1" ht="15">
      <c r="A19" s="10" t="s">
        <v>70</v>
      </c>
      <c r="B19" s="46"/>
      <c r="C19" s="24">
        <v>0</v>
      </c>
      <c r="D19" s="49">
        <v>0.58</v>
      </c>
      <c r="E19" s="50">
        <v>2000</v>
      </c>
      <c r="F19" s="59">
        <f t="shared" si="0"/>
        <v>0</v>
      </c>
      <c r="G19" s="60">
        <f t="shared" si="1"/>
        <v>0</v>
      </c>
    </row>
    <row r="20" spans="1:7" s="3" customFormat="1" ht="15">
      <c r="A20" s="10" t="s">
        <v>143</v>
      </c>
      <c r="B20" s="46" t="s">
        <v>144</v>
      </c>
      <c r="C20" s="24">
        <v>0</v>
      </c>
      <c r="D20" s="49">
        <v>0.09</v>
      </c>
      <c r="E20" s="50">
        <v>220</v>
      </c>
      <c r="F20" s="59">
        <f aca="true" t="shared" si="2" ref="F20:F25">1.04*C20*0.01*E20</f>
        <v>0</v>
      </c>
      <c r="G20" s="60">
        <f t="shared" si="1"/>
        <v>0</v>
      </c>
    </row>
    <row r="21" spans="1:7" s="3" customFormat="1" ht="15">
      <c r="A21" s="10" t="s">
        <v>71</v>
      </c>
      <c r="B21" s="46"/>
      <c r="C21" s="24">
        <v>0</v>
      </c>
      <c r="D21" s="49">
        <v>0.12</v>
      </c>
      <c r="E21" s="50">
        <v>335</v>
      </c>
      <c r="F21" s="59">
        <f t="shared" si="2"/>
        <v>0</v>
      </c>
      <c r="G21" s="60">
        <f t="shared" si="1"/>
        <v>0</v>
      </c>
    </row>
    <row r="22" spans="1:7" s="3" customFormat="1" ht="15">
      <c r="A22" s="10" t="s">
        <v>24</v>
      </c>
      <c r="B22" s="46"/>
      <c r="C22" s="24">
        <v>0</v>
      </c>
      <c r="D22" s="49">
        <v>0.14</v>
      </c>
      <c r="E22" s="50">
        <v>400</v>
      </c>
      <c r="F22" s="59">
        <f t="shared" si="2"/>
        <v>0</v>
      </c>
      <c r="G22" s="60">
        <f t="shared" si="1"/>
        <v>0</v>
      </c>
    </row>
    <row r="23" spans="1:7" s="3" customFormat="1" ht="15">
      <c r="A23" s="10" t="s">
        <v>22</v>
      </c>
      <c r="B23" s="46"/>
      <c r="C23" s="24">
        <v>5</v>
      </c>
      <c r="D23" s="49">
        <v>0.15</v>
      </c>
      <c r="E23" s="50">
        <v>475</v>
      </c>
      <c r="F23" s="59">
        <f t="shared" si="2"/>
        <v>24.700000000000003</v>
      </c>
      <c r="G23" s="60">
        <f t="shared" si="1"/>
        <v>0.33333333333333337</v>
      </c>
    </row>
    <row r="24" spans="1:7" s="3" customFormat="1" ht="15">
      <c r="A24" s="10" t="s">
        <v>98</v>
      </c>
      <c r="B24" s="46"/>
      <c r="C24" s="24">
        <v>0</v>
      </c>
      <c r="D24" s="49">
        <v>0.16</v>
      </c>
      <c r="E24" s="50">
        <v>535</v>
      </c>
      <c r="F24" s="59">
        <f t="shared" si="2"/>
        <v>0</v>
      </c>
      <c r="G24" s="60">
        <f t="shared" si="1"/>
        <v>0</v>
      </c>
    </row>
    <row r="25" spans="1:7" s="3" customFormat="1" ht="15">
      <c r="A25" s="10" t="s">
        <v>99</v>
      </c>
      <c r="B25" s="46"/>
      <c r="C25" s="24">
        <v>0</v>
      </c>
      <c r="D25" s="49">
        <v>0.19</v>
      </c>
      <c r="E25" s="50">
        <v>600</v>
      </c>
      <c r="F25" s="59">
        <f t="shared" si="2"/>
        <v>0</v>
      </c>
      <c r="G25" s="60">
        <f t="shared" si="1"/>
        <v>0</v>
      </c>
    </row>
    <row r="26" spans="1:7" s="3" customFormat="1" ht="47.25">
      <c r="A26" s="9" t="s">
        <v>113</v>
      </c>
      <c r="B26" s="47" t="str">
        <f>IF(C26=0," ",IF(C26&lt;&gt;22,"עובי הבלוק האפשרי 
הינו 22 סמ' בלבד"," "))</f>
        <v> </v>
      </c>
      <c r="C26" s="24">
        <v>0</v>
      </c>
      <c r="D26" s="51">
        <f>0.22/0.93</f>
        <v>0.23655913978494622</v>
      </c>
      <c r="E26" s="50">
        <v>860</v>
      </c>
      <c r="F26" s="61">
        <f>IF(C26=0,C26*0.01*E26,IF(C26&lt;&gt;22,1/0,C26*0.01*E26))</f>
        <v>0</v>
      </c>
      <c r="G26" s="60">
        <f>IF(C26=22,C26*0.01/D26,0)</f>
        <v>0</v>
      </c>
    </row>
    <row r="27" spans="1:7" s="3" customFormat="1" ht="40.5" customHeight="1">
      <c r="A27" s="9" t="s">
        <v>111</v>
      </c>
      <c r="B27" s="47" t="str">
        <f>IF(C27=0," ",IF(C27&lt;&gt;20,"עובי הבלוק האפשרי 
הינו 20 סמ' בלבד"," "))</f>
        <v> </v>
      </c>
      <c r="C27" s="24">
        <v>0</v>
      </c>
      <c r="D27" s="51">
        <f>0.2/0.88</f>
        <v>0.2272727272727273</v>
      </c>
      <c r="E27" s="50">
        <v>745</v>
      </c>
      <c r="F27" s="61">
        <f>IF(C27=0,C27*0.01*E27,IF(C27&lt;&gt;20,1/0,C27*0.01*E27))</f>
        <v>0</v>
      </c>
      <c r="G27" s="60">
        <f>IF(C27=20,C27*0.01/D27,0)</f>
        <v>0</v>
      </c>
    </row>
    <row r="28" spans="1:7" s="3" customFormat="1" ht="42" customHeight="1">
      <c r="A28" s="9" t="s">
        <v>112</v>
      </c>
      <c r="B28" s="47" t="str">
        <f>IF(C28=0," ",IF(C28&lt;&gt;22,"עובי הבלוק האפשרי 
הינו 22 סמ' בלבד"," "))</f>
        <v> </v>
      </c>
      <c r="C28" s="24">
        <v>0</v>
      </c>
      <c r="D28" s="51">
        <f>0.22/0.88</f>
        <v>0.25</v>
      </c>
      <c r="E28" s="50">
        <v>795</v>
      </c>
      <c r="F28" s="61">
        <f>IF(C28=0,C28*0.01*E28,IF(C28&lt;&gt;22,1/0,C28*0.01*E28))</f>
        <v>0</v>
      </c>
      <c r="G28" s="60">
        <f>IF(C28=22,C28*0.01/D28,0)</f>
        <v>0</v>
      </c>
    </row>
    <row r="29" spans="1:7" s="3" customFormat="1" ht="42" customHeight="1">
      <c r="A29" s="9" t="s">
        <v>114</v>
      </c>
      <c r="B29" s="47" t="str">
        <f>IF(C29=0," ",IF(C29&lt;&gt;22,"עובי הבלוק האפשרי 
הינו 22 סמ' בלבד"," "))</f>
        <v> </v>
      </c>
      <c r="C29" s="24">
        <v>0</v>
      </c>
      <c r="D29" s="51">
        <f>0.22/0.78</f>
        <v>0.28205128205128205</v>
      </c>
      <c r="E29" s="50">
        <v>848</v>
      </c>
      <c r="F29" s="61">
        <f>IF(C29=0,C29*0.01*E29,IF(C29&lt;&gt;22,1/0,C29*0.01*E29))</f>
        <v>0</v>
      </c>
      <c r="G29" s="60">
        <f>IF(C29=22,C29*0.01/D29,0)</f>
        <v>0</v>
      </c>
    </row>
    <row r="30" spans="1:7" s="3" customFormat="1" ht="42" customHeight="1">
      <c r="A30" s="9" t="s">
        <v>115</v>
      </c>
      <c r="B30" s="47" t="str">
        <f>IF(C30=0," ",IF(C30&lt;&gt;20,"עובי הבלוק האפשרי 
הינו 20 סמ' בלבד"," "))</f>
        <v> </v>
      </c>
      <c r="C30" s="24">
        <v>0</v>
      </c>
      <c r="D30" s="51">
        <f>0.2/0.73</f>
        <v>0.27397260273972607</v>
      </c>
      <c r="E30" s="50">
        <v>825</v>
      </c>
      <c r="F30" s="61">
        <f>IF(C30=0,C30*0.01*E30,IF(C30&lt;&gt;20,1/0,C30*0.01*E30))</f>
        <v>0</v>
      </c>
      <c r="G30" s="60">
        <f>IF(C30=20,C30*0.01/D30,0)</f>
        <v>0</v>
      </c>
    </row>
    <row r="31" spans="1:7" s="3" customFormat="1" ht="16.5">
      <c r="A31" s="10" t="s">
        <v>116</v>
      </c>
      <c r="B31" s="47" t="str">
        <f>IF(C31=0," ",IF(C31&lt;&gt;25,"עובי הבלוק האפשרי 
הינו 25 סמ' בלבד"," "))</f>
        <v> </v>
      </c>
      <c r="C31" s="24">
        <v>0</v>
      </c>
      <c r="D31" s="51">
        <f>0.25/2.9</f>
        <v>0.08620689655172414</v>
      </c>
      <c r="E31" s="50">
        <f>(14/25)*850</f>
        <v>476.00000000000006</v>
      </c>
      <c r="F31" s="61">
        <f>IF(C31=0,C31*0.01*E31,IF(C31&lt;&gt;25,1/0,C31*0.01*E31))</f>
        <v>0</v>
      </c>
      <c r="G31" s="60">
        <f t="shared" si="1"/>
        <v>0</v>
      </c>
    </row>
    <row r="32" spans="1:7" s="3" customFormat="1" ht="15">
      <c r="A32" s="10" t="s">
        <v>74</v>
      </c>
      <c r="B32" s="46"/>
      <c r="C32" s="24">
        <v>0</v>
      </c>
      <c r="D32" s="51">
        <f>0.2/0.45</f>
        <v>0.4444444444444445</v>
      </c>
      <c r="E32" s="50">
        <v>1300</v>
      </c>
      <c r="F32" s="59">
        <f aca="true" t="shared" si="3" ref="F32:F44">C32*0.01*E32</f>
        <v>0</v>
      </c>
      <c r="G32" s="60">
        <f t="shared" si="1"/>
        <v>0</v>
      </c>
    </row>
    <row r="33" spans="1:7" s="3" customFormat="1" ht="15">
      <c r="A33" s="10" t="s">
        <v>100</v>
      </c>
      <c r="B33" s="46"/>
      <c r="C33" s="24">
        <v>0</v>
      </c>
      <c r="D33" s="51">
        <v>0.235</v>
      </c>
      <c r="E33" s="50">
        <v>780</v>
      </c>
      <c r="F33" s="59">
        <f t="shared" si="3"/>
        <v>0</v>
      </c>
      <c r="G33" s="60">
        <f t="shared" si="1"/>
        <v>0</v>
      </c>
    </row>
    <row r="34" spans="1:7" s="3" customFormat="1" ht="15">
      <c r="A34" s="9" t="s">
        <v>25</v>
      </c>
      <c r="B34" s="45"/>
      <c r="C34" s="24">
        <v>0</v>
      </c>
      <c r="D34" s="49">
        <v>2.1</v>
      </c>
      <c r="E34" s="50">
        <v>2400</v>
      </c>
      <c r="F34" s="59">
        <f t="shared" si="3"/>
        <v>0</v>
      </c>
      <c r="G34" s="60">
        <f t="shared" si="1"/>
        <v>0</v>
      </c>
    </row>
    <row r="35" spans="1:7" s="3" customFormat="1" ht="15">
      <c r="A35" s="10" t="s">
        <v>68</v>
      </c>
      <c r="B35" s="46"/>
      <c r="C35" s="24">
        <v>0</v>
      </c>
      <c r="D35" s="49">
        <v>0.04</v>
      </c>
      <c r="E35" s="50">
        <v>25</v>
      </c>
      <c r="F35" s="59">
        <f t="shared" si="3"/>
        <v>0</v>
      </c>
      <c r="G35" s="60">
        <f t="shared" si="1"/>
        <v>0</v>
      </c>
    </row>
    <row r="36" spans="1:7" s="3" customFormat="1" ht="30.75" customHeight="1">
      <c r="A36" s="9" t="s">
        <v>107</v>
      </c>
      <c r="B36" s="45"/>
      <c r="C36" s="24">
        <v>0</v>
      </c>
      <c r="D36" s="49" t="s">
        <v>67</v>
      </c>
      <c r="E36" s="50">
        <v>0</v>
      </c>
      <c r="F36" s="59">
        <f t="shared" si="3"/>
        <v>0</v>
      </c>
      <c r="G36" s="60">
        <f>IF(C36&lt;1.3,0,IF(C36&lt;2,0.15,0.16))</f>
        <v>0</v>
      </c>
    </row>
    <row r="37" spans="1:7" s="3" customFormat="1" ht="30.75" customHeight="1">
      <c r="A37" s="9" t="s">
        <v>108</v>
      </c>
      <c r="B37" s="45"/>
      <c r="C37" s="24">
        <v>0</v>
      </c>
      <c r="D37" s="49">
        <v>0.04</v>
      </c>
      <c r="E37" s="50">
        <v>30</v>
      </c>
      <c r="F37" s="59">
        <f t="shared" si="3"/>
        <v>0</v>
      </c>
      <c r="G37" s="60">
        <f aca="true" t="shared" si="4" ref="G37:G44">C37*0.01/D37</f>
        <v>0</v>
      </c>
    </row>
    <row r="38" spans="1:7" s="3" customFormat="1" ht="45.75" customHeight="1">
      <c r="A38" s="9" t="s">
        <v>109</v>
      </c>
      <c r="B38" s="45"/>
      <c r="C38" s="24">
        <v>0</v>
      </c>
      <c r="D38" s="49">
        <v>0.032</v>
      </c>
      <c r="E38" s="50">
        <v>30</v>
      </c>
      <c r="F38" s="59">
        <f t="shared" si="3"/>
        <v>0</v>
      </c>
      <c r="G38" s="60">
        <f t="shared" si="4"/>
        <v>0</v>
      </c>
    </row>
    <row r="39" spans="1:7" s="3" customFormat="1" ht="15">
      <c r="A39" s="9" t="s">
        <v>110</v>
      </c>
      <c r="B39" s="45"/>
      <c r="C39" s="24">
        <v>0</v>
      </c>
      <c r="D39" s="51">
        <v>0.03</v>
      </c>
      <c r="E39" s="50">
        <v>27</v>
      </c>
      <c r="F39" s="59">
        <f t="shared" si="3"/>
        <v>0</v>
      </c>
      <c r="G39" s="60">
        <f t="shared" si="4"/>
        <v>0</v>
      </c>
    </row>
    <row r="40" spans="1:7" s="3" customFormat="1" ht="15">
      <c r="A40" s="10" t="s">
        <v>69</v>
      </c>
      <c r="B40" s="46"/>
      <c r="C40" s="24">
        <v>0</v>
      </c>
      <c r="D40" s="49">
        <v>0.21</v>
      </c>
      <c r="E40" s="50">
        <v>900</v>
      </c>
      <c r="F40" s="59">
        <f t="shared" si="3"/>
        <v>0</v>
      </c>
      <c r="G40" s="60">
        <f t="shared" si="4"/>
        <v>0</v>
      </c>
    </row>
    <row r="41" spans="1:7" s="3" customFormat="1" ht="15">
      <c r="A41" s="10" t="s">
        <v>72</v>
      </c>
      <c r="B41" s="46"/>
      <c r="C41" s="24">
        <v>0</v>
      </c>
      <c r="D41" s="49">
        <v>0.14</v>
      </c>
      <c r="E41" s="50">
        <v>450</v>
      </c>
      <c r="F41" s="59">
        <f t="shared" si="3"/>
        <v>0</v>
      </c>
      <c r="G41" s="60">
        <f t="shared" si="4"/>
        <v>0</v>
      </c>
    </row>
    <row r="42" spans="1:7" s="3" customFormat="1" ht="15">
      <c r="A42" s="10" t="s">
        <v>73</v>
      </c>
      <c r="B42" s="46"/>
      <c r="C42" s="24">
        <v>0</v>
      </c>
      <c r="D42" s="49">
        <v>0.08</v>
      </c>
      <c r="E42" s="50">
        <v>200</v>
      </c>
      <c r="F42" s="59">
        <f t="shared" si="3"/>
        <v>0</v>
      </c>
      <c r="G42" s="60">
        <f t="shared" si="4"/>
        <v>0</v>
      </c>
    </row>
    <row r="43" spans="1:7" s="3" customFormat="1" ht="15">
      <c r="A43" s="9" t="s">
        <v>29</v>
      </c>
      <c r="B43" s="45"/>
      <c r="C43" s="24">
        <v>2</v>
      </c>
      <c r="D43" s="49">
        <v>0.87</v>
      </c>
      <c r="E43" s="50">
        <v>1800</v>
      </c>
      <c r="F43" s="59">
        <f t="shared" si="3"/>
        <v>36</v>
      </c>
      <c r="G43" s="60">
        <f t="shared" si="4"/>
        <v>0.022988505747126436</v>
      </c>
    </row>
    <row r="44" spans="1:7" s="3" customFormat="1" ht="15.75" thickBot="1">
      <c r="A44" s="11" t="s">
        <v>8</v>
      </c>
      <c r="B44" s="48"/>
      <c r="C44" s="25">
        <v>0</v>
      </c>
      <c r="D44" s="52">
        <v>0.35</v>
      </c>
      <c r="E44" s="53">
        <v>1200</v>
      </c>
      <c r="F44" s="62">
        <f t="shared" si="3"/>
        <v>0</v>
      </c>
      <c r="G44" s="63">
        <f t="shared" si="4"/>
        <v>0</v>
      </c>
    </row>
    <row r="45" spans="1:7" s="6" customFormat="1" ht="18.75" thickBot="1" thickTop="1">
      <c r="A45" s="12" t="s">
        <v>11</v>
      </c>
      <c r="B45" s="43"/>
      <c r="C45" s="13">
        <f>SUM(C8:C44)</f>
        <v>30.5</v>
      </c>
      <c r="D45" s="13"/>
      <c r="E45" s="13"/>
      <c r="F45" s="68">
        <f>SUM(F8:F44)</f>
        <v>260.65</v>
      </c>
      <c r="G45" s="64">
        <f>IF(F45&gt;0,SUM(G8:G44),1/0)</f>
        <v>2.075738916256158</v>
      </c>
    </row>
    <row r="49" spans="1:8" s="15" customFormat="1" ht="27" customHeight="1">
      <c r="A49" s="88" t="s">
        <v>126</v>
      </c>
      <c r="B49" s="88"/>
      <c r="C49" s="88"/>
      <c r="D49" s="88"/>
      <c r="E49" s="88"/>
      <c r="F49" s="88"/>
      <c r="G49" s="88"/>
      <c r="H49" s="88"/>
    </row>
    <row r="50" spans="3:8" s="22" customFormat="1" ht="43.5" customHeight="1">
      <c r="C50" s="89" t="s">
        <v>16</v>
      </c>
      <c r="D50" s="89"/>
      <c r="E50" s="69">
        <f>F45</f>
        <v>260.65</v>
      </c>
      <c r="F50" s="23" t="s">
        <v>17</v>
      </c>
      <c r="G50" s="91" t="s">
        <v>125</v>
      </c>
      <c r="H50" s="91"/>
    </row>
    <row r="51" spans="1:8" s="22" customFormat="1" ht="42" customHeight="1">
      <c r="A51" s="14"/>
      <c r="B51" s="14"/>
      <c r="C51" s="88" t="s">
        <v>149</v>
      </c>
      <c r="D51" s="88"/>
      <c r="E51" s="16" t="s">
        <v>19</v>
      </c>
      <c r="F51" s="78">
        <f>IF($F$45&gt;300,0.9,IF($F$45&gt;200,1.2-0.001*$F$45,IF($F$45&gt;150,1.8-0.004*$F$45,IF($F$45&gt;100,2.1-0.006*$F$45,1.5))))</f>
        <v>0.9393499999999999</v>
      </c>
      <c r="G51" s="90" t="s">
        <v>34</v>
      </c>
      <c r="H51" s="90"/>
    </row>
    <row r="52" s="15" customFormat="1" ht="12">
      <c r="D52" s="17"/>
    </row>
    <row r="53" spans="1:2" s="15" customFormat="1" ht="18">
      <c r="A53" s="18" t="s">
        <v>9</v>
      </c>
      <c r="B53" s="18"/>
    </row>
    <row r="54" spans="1:8" s="15" customFormat="1" ht="20.25" customHeight="1">
      <c r="A54" s="19" t="s">
        <v>131</v>
      </c>
      <c r="B54" s="19"/>
      <c r="F54" s="95" t="str">
        <f>IF(F45&gt;250,"אלמנט כבד",IF(F45&gt;100,"אלמנט חצי כבד","!!!אלמנט קל"))</f>
        <v>אלמנט כבד</v>
      </c>
      <c r="G54" s="95"/>
      <c r="H54" s="95"/>
    </row>
    <row r="55" spans="1:8" s="15" customFormat="1" ht="21">
      <c r="A55" s="19" t="s">
        <v>132</v>
      </c>
      <c r="B55" s="19"/>
      <c r="F55" s="20" t="s">
        <v>21</v>
      </c>
      <c r="G55" s="77">
        <f>G45</f>
        <v>2.075738916256158</v>
      </c>
      <c r="H55" s="21" t="s">
        <v>20</v>
      </c>
    </row>
    <row r="56" spans="1:9" s="15" customFormat="1" ht="21">
      <c r="A56" s="19" t="s">
        <v>133</v>
      </c>
      <c r="B56" s="19"/>
      <c r="F56" s="20" t="s">
        <v>21</v>
      </c>
      <c r="G56" s="77">
        <f>F51</f>
        <v>0.9393499999999999</v>
      </c>
      <c r="H56" s="21" t="s">
        <v>20</v>
      </c>
      <c r="I56" s="76">
        <f>G55/G56-1</f>
        <v>1.2097609157993912</v>
      </c>
    </row>
    <row r="57" spans="1:8" ht="21">
      <c r="A57" s="19" t="s">
        <v>127</v>
      </c>
      <c r="B57" s="19"/>
      <c r="D57" s="70">
        <f>IF(F45&gt;=250,0.9,IF(F45&gt;=100,0.8,0.7))</f>
        <v>0.9</v>
      </c>
      <c r="E57" s="21" t="s">
        <v>104</v>
      </c>
      <c r="F57" s="20" t="s">
        <v>21</v>
      </c>
      <c r="G57" s="77">
        <f>1/D57-0.16</f>
        <v>0.9511111111111111</v>
      </c>
      <c r="H57" s="21" t="s">
        <v>20</v>
      </c>
    </row>
    <row r="58" spans="1:8" ht="21">
      <c r="A58" s="19" t="s">
        <v>128</v>
      </c>
      <c r="B58" s="19"/>
      <c r="D58" s="70">
        <f>IF(F45&gt;=250,0.7,IF(F45&gt;=100,0.7,0.6))</f>
        <v>0.7</v>
      </c>
      <c r="E58" s="21" t="s">
        <v>104</v>
      </c>
      <c r="F58" s="20" t="s">
        <v>21</v>
      </c>
      <c r="G58" s="77">
        <f>1/D58-0.16</f>
        <v>1.2685714285714287</v>
      </c>
      <c r="H58" s="21" t="s">
        <v>20</v>
      </c>
    </row>
    <row r="59" spans="1:8" ht="21">
      <c r="A59" s="19" t="s">
        <v>129</v>
      </c>
      <c r="B59" s="19"/>
      <c r="D59" s="70">
        <f>IF(F45&gt;=250,0.5,IF(F45&gt;=100,0.5,0.4))</f>
        <v>0.5</v>
      </c>
      <c r="E59" s="21" t="s">
        <v>104</v>
      </c>
      <c r="F59" s="20" t="s">
        <v>21</v>
      </c>
      <c r="G59" s="77">
        <f>1/D59-0.16</f>
        <v>1.84</v>
      </c>
      <c r="H59" s="21" t="s">
        <v>20</v>
      </c>
    </row>
    <row r="60" spans="1:8" ht="19.5">
      <c r="A60" s="19"/>
      <c r="B60" s="19"/>
      <c r="D60" s="70"/>
      <c r="E60" s="21"/>
      <c r="F60" s="20"/>
      <c r="G60" s="65"/>
      <c r="H60" s="21"/>
    </row>
    <row r="63" spans="1:8" ht="44.25" customHeight="1">
      <c r="A63" s="82" t="s">
        <v>101</v>
      </c>
      <c r="B63" s="82"/>
      <c r="C63" s="3"/>
      <c r="D63" s="80" t="str">
        <f>IF(G55&gt;=G56,"עונה","אינה עונה")</f>
        <v>עונה</v>
      </c>
      <c r="E63" s="92" t="s">
        <v>148</v>
      </c>
      <c r="F63" s="92"/>
      <c r="G63" s="83"/>
      <c r="H63" s="3"/>
    </row>
    <row r="64" spans="1:8" ht="47.25" customHeight="1">
      <c r="A64" s="82" t="s">
        <v>101</v>
      </c>
      <c r="B64" s="82"/>
      <c r="C64" s="3"/>
      <c r="D64" s="81" t="str">
        <f>IF(AND(G55&gt;=G57,F45&lt;100),"*עונה",IF(AND(G55&gt;=G57),"עונה","אינה עונה"))</f>
        <v>עונה</v>
      </c>
      <c r="E64" s="92" t="s">
        <v>147</v>
      </c>
      <c r="F64" s="92"/>
      <c r="G64" s="84" t="str">
        <f>IF(G55&gt;=G59,"A דרגה",IF(G55&gt;=G58,"B דרגה",IF(G55&gt;=G57,"C,D,E דרגה"," ")))</f>
        <v>A דרגה</v>
      </c>
      <c r="H64" s="3"/>
    </row>
    <row r="65" spans="1:8" ht="62.25" customHeight="1">
      <c r="A65" s="100" t="str">
        <f>IF(AND(F45&lt;100,G45&gt;=G57),"*שים לב, קיר חוץ זה מוגדר כאלמנט קל והוא עונה לדרישות תקן 5282 בתנאי שהוא ממוקם במבנה כבד בלבד"," ")</f>
        <v> </v>
      </c>
      <c r="B65" s="100"/>
      <c r="C65" s="100"/>
      <c r="D65" s="100"/>
      <c r="E65" s="100"/>
      <c r="F65" s="100"/>
      <c r="G65" s="100"/>
      <c r="H65" s="100"/>
    </row>
    <row r="66" spans="1:8" ht="22.5">
      <c r="A66" s="72"/>
      <c r="B66" s="72"/>
      <c r="C66" s="72"/>
      <c r="D66" s="72"/>
      <c r="E66" s="72"/>
      <c r="F66" s="72"/>
      <c r="G66" s="72"/>
      <c r="H66" s="72"/>
    </row>
    <row r="67" spans="1:8" ht="131.25" customHeight="1">
      <c r="A67" s="93" t="s">
        <v>134</v>
      </c>
      <c r="B67" s="94"/>
      <c r="C67" s="94"/>
      <c r="D67" s="94"/>
      <c r="E67" s="94"/>
      <c r="F67" s="94"/>
      <c r="G67" s="94"/>
      <c r="H67" s="94"/>
    </row>
    <row r="68" spans="1:8" ht="167.25" customHeight="1">
      <c r="A68" s="101" t="s">
        <v>135</v>
      </c>
      <c r="B68" s="102"/>
      <c r="C68" s="102"/>
      <c r="D68" s="102"/>
      <c r="E68" s="102"/>
      <c r="F68" s="102"/>
      <c r="G68" s="102"/>
      <c r="H68" s="102"/>
    </row>
    <row r="69" spans="1:8" ht="22.5">
      <c r="A69" s="72"/>
      <c r="B69" s="72"/>
      <c r="C69" s="72"/>
      <c r="D69" s="72"/>
      <c r="E69" s="72"/>
      <c r="F69" s="72"/>
      <c r="G69" s="72"/>
      <c r="H69" s="72"/>
    </row>
    <row r="71" spans="1:8" ht="12.75" customHeight="1">
      <c r="A71" s="99" t="s">
        <v>105</v>
      </c>
      <c r="B71" s="99"/>
      <c r="C71" s="99"/>
      <c r="D71" s="99"/>
      <c r="E71" s="99"/>
      <c r="F71" s="99"/>
      <c r="G71" s="99"/>
      <c r="H71" s="99"/>
    </row>
    <row r="72" spans="1:8" ht="12.75" customHeight="1">
      <c r="A72" s="99"/>
      <c r="B72" s="99"/>
      <c r="C72" s="99"/>
      <c r="D72" s="99"/>
      <c r="E72" s="99"/>
      <c r="F72" s="99"/>
      <c r="G72" s="99"/>
      <c r="H72" s="99"/>
    </row>
  </sheetData>
  <sheetProtection password="CB43" sheet="1"/>
  <protectedRanges>
    <protectedRange sqref="A8:A19 A21:A44" name="טווח3"/>
    <protectedRange sqref="A3:G3 A2:F2" name="טווח2"/>
    <protectedRange sqref="A20" name="טווח3_1"/>
    <protectedRange sqref="C8:C44" name="טווח1_1_1"/>
    <protectedRange sqref="G2" name="טווח2_2_2_1"/>
  </protectedRanges>
  <mergeCells count="14">
    <mergeCell ref="A67:H67"/>
    <mergeCell ref="A68:H68"/>
    <mergeCell ref="E63:F63"/>
    <mergeCell ref="E64:F64"/>
    <mergeCell ref="A3:G3"/>
    <mergeCell ref="A5:G5"/>
    <mergeCell ref="A49:H49"/>
    <mergeCell ref="C50:D50"/>
    <mergeCell ref="G50:H50"/>
    <mergeCell ref="A71:H72"/>
    <mergeCell ref="C51:D51"/>
    <mergeCell ref="G51:H51"/>
    <mergeCell ref="F54:H54"/>
    <mergeCell ref="A65:H65"/>
  </mergeCells>
  <printOptions horizontalCentered="1" verticalCentered="1"/>
  <pageMargins left="0.7480314960629921" right="0.7480314960629921" top="0.984251968503937" bottom="0.984251968503937" header="0.5118110236220472" footer="0.5118110236220472"/>
  <pageSetup fitToHeight="1" fitToWidth="1" horizontalDpi="300" verticalDpi="300" orientation="portrait" paperSize="9" scale="35" r:id="rId2"/>
  <headerFooter alignWithMargins="0">
    <oddHeader>&amp;C&amp;F
&amp;A</oddHeader>
  </headerFooter>
  <drawing r:id="rId1"/>
</worksheet>
</file>

<file path=xl/worksheets/sheet6.xml><?xml version="1.0" encoding="utf-8"?>
<worksheet xmlns="http://schemas.openxmlformats.org/spreadsheetml/2006/main" xmlns:r="http://schemas.openxmlformats.org/officeDocument/2006/relationships">
  <dimension ref="A2:P48"/>
  <sheetViews>
    <sheetView rightToLeft="1" zoomScale="75" zoomScaleNormal="75" zoomScalePageLayoutView="0" workbookViewId="0" topLeftCell="A31">
      <selection activeCell="K47" sqref="K47"/>
    </sheetView>
  </sheetViews>
  <sheetFormatPr defaultColWidth="9.140625" defaultRowHeight="12.75"/>
  <cols>
    <col min="1" max="1" width="16.421875" style="0" customWidth="1"/>
    <col min="2" max="2" width="12.8515625" style="0" bestFit="1" customWidth="1"/>
    <col min="4" max="4" width="13.57421875" style="0" customWidth="1"/>
    <col min="5" max="5" width="19.421875" style="0" bestFit="1" customWidth="1"/>
    <col min="7" max="7" width="12.00390625" style="0" bestFit="1" customWidth="1"/>
  </cols>
  <sheetData>
    <row r="2" ht="24.75">
      <c r="A2" s="28" t="s">
        <v>40</v>
      </c>
    </row>
    <row r="4" spans="1:16" ht="37.5">
      <c r="A4" s="28" t="s">
        <v>41</v>
      </c>
      <c r="B4" s="28" t="s">
        <v>42</v>
      </c>
      <c r="C4" s="28" t="s">
        <v>43</v>
      </c>
      <c r="D4" s="28" t="s">
        <v>44</v>
      </c>
      <c r="E4" s="28" t="s">
        <v>45</v>
      </c>
      <c r="F4" s="28" t="s">
        <v>46</v>
      </c>
      <c r="G4" s="28" t="s">
        <v>47</v>
      </c>
      <c r="H4" s="29" t="s">
        <v>48</v>
      </c>
      <c r="J4" s="28" t="s">
        <v>42</v>
      </c>
      <c r="K4" s="28" t="s">
        <v>43</v>
      </c>
      <c r="L4" s="28" t="s">
        <v>44</v>
      </c>
      <c r="M4" s="28" t="s">
        <v>45</v>
      </c>
      <c r="N4" s="28" t="s">
        <v>46</v>
      </c>
      <c r="O4" s="28" t="s">
        <v>47</v>
      </c>
      <c r="P4" s="29" t="s">
        <v>48</v>
      </c>
    </row>
    <row r="5" spans="3:16" s="30" customFormat="1" ht="12">
      <c r="C5" s="30" t="s">
        <v>49</v>
      </c>
      <c r="D5" s="30" t="s">
        <v>50</v>
      </c>
      <c r="E5" s="30" t="s">
        <v>28</v>
      </c>
      <c r="F5" s="30" t="s">
        <v>51</v>
      </c>
      <c r="G5" s="30" t="s">
        <v>52</v>
      </c>
      <c r="H5" s="30" t="s">
        <v>53</v>
      </c>
      <c r="K5" s="30" t="s">
        <v>49</v>
      </c>
      <c r="L5" s="30" t="s">
        <v>50</v>
      </c>
      <c r="M5" s="30" t="s">
        <v>28</v>
      </c>
      <c r="N5" s="30" t="s">
        <v>51</v>
      </c>
      <c r="O5" s="30" t="s">
        <v>52</v>
      </c>
      <c r="P5" s="30" t="s">
        <v>53</v>
      </c>
    </row>
    <row r="6" spans="3:16" s="31" customFormat="1" ht="14.25">
      <c r="C6" s="32" t="s">
        <v>54</v>
      </c>
      <c r="D6" s="32" t="s">
        <v>55</v>
      </c>
      <c r="E6" s="32" t="s">
        <v>56</v>
      </c>
      <c r="F6" s="32" t="s">
        <v>57</v>
      </c>
      <c r="G6" s="32" t="s">
        <v>58</v>
      </c>
      <c r="H6" s="31" t="s">
        <v>59</v>
      </c>
      <c r="K6" s="32" t="s">
        <v>54</v>
      </c>
      <c r="L6" s="32" t="s">
        <v>55</v>
      </c>
      <c r="M6" s="32" t="s">
        <v>56</v>
      </c>
      <c r="N6" s="32" t="s">
        <v>57</v>
      </c>
      <c r="O6" s="32" t="s">
        <v>58</v>
      </c>
      <c r="P6" s="31" t="s">
        <v>59</v>
      </c>
    </row>
    <row r="8" spans="2:16" ht="37.5">
      <c r="B8" s="28" t="s">
        <v>60</v>
      </c>
      <c r="C8" s="31">
        <v>1.5</v>
      </c>
      <c r="D8" s="31">
        <v>0.87</v>
      </c>
      <c r="E8" s="33">
        <f>C8*0.01/D8</f>
        <v>0.017241379310344827</v>
      </c>
      <c r="F8" s="31">
        <v>1800</v>
      </c>
      <c r="G8" s="31">
        <v>0.86</v>
      </c>
      <c r="H8" s="33">
        <f>(0.04+0.5*E8)*(C8/100)*F8*G8*0.2776</f>
        <v>0.3134027420689655</v>
      </c>
      <c r="J8" s="28" t="s">
        <v>60</v>
      </c>
      <c r="K8" s="31">
        <v>1.5</v>
      </c>
      <c r="L8" s="31">
        <v>0.87</v>
      </c>
      <c r="M8" s="33">
        <f>K8*0.01/L8</f>
        <v>0.017241379310344827</v>
      </c>
      <c r="N8" s="31">
        <v>1800</v>
      </c>
      <c r="O8" s="31">
        <v>0.86</v>
      </c>
      <c r="P8" s="33">
        <f>(0.04+0.5*M8)*(K8/100)*N8*O8*0.2776</f>
        <v>0.3134027420689655</v>
      </c>
    </row>
    <row r="9" spans="2:16" ht="49.5">
      <c r="B9" s="28" t="s">
        <v>61</v>
      </c>
      <c r="C9" s="31">
        <v>0.5</v>
      </c>
      <c r="D9" s="31">
        <v>1.4</v>
      </c>
      <c r="E9" s="33">
        <f>C9*0.01/D9</f>
        <v>0.0035714285714285718</v>
      </c>
      <c r="F9" s="31">
        <v>2000</v>
      </c>
      <c r="G9" s="31">
        <v>0.9</v>
      </c>
      <c r="H9" s="33">
        <f>(0.04+E8+0.5*E9)*(C9/100)*F9*G9*0.2776</f>
        <v>0.14747329064039413</v>
      </c>
      <c r="J9" s="28" t="s">
        <v>61</v>
      </c>
      <c r="K9" s="31">
        <v>0.5</v>
      </c>
      <c r="L9" s="31">
        <v>1.4</v>
      </c>
      <c r="M9" s="33">
        <f>K9*0.01/L9</f>
        <v>0.0035714285714285718</v>
      </c>
      <c r="N9" s="31">
        <v>2000</v>
      </c>
      <c r="O9" s="31">
        <v>0.9</v>
      </c>
      <c r="P9" s="33">
        <f>(0.04+M8+0.5*M9)*(K9/100)*N9*O9*0.2776</f>
        <v>0.14747329064039413</v>
      </c>
    </row>
    <row r="10" spans="2:16" ht="37.5">
      <c r="B10" s="28" t="s">
        <v>62</v>
      </c>
      <c r="C10" s="31">
        <v>20</v>
      </c>
      <c r="D10" s="31">
        <v>0.154</v>
      </c>
      <c r="E10" s="33">
        <f>C10*0.01/D10</f>
        <v>1.2987012987012987</v>
      </c>
      <c r="F10" s="31">
        <v>475</v>
      </c>
      <c r="G10" s="31">
        <v>0.97</v>
      </c>
      <c r="H10" s="33">
        <f>(0.04+E8+E9+0.5*E10)*(C10/100)*F10*G10*0.2776</f>
        <v>18.16657777330945</v>
      </c>
      <c r="J10" s="28" t="s">
        <v>62</v>
      </c>
      <c r="K10" s="31">
        <v>20</v>
      </c>
      <c r="L10" s="31">
        <v>0.154</v>
      </c>
      <c r="M10" s="33">
        <f>K10*0.01/L10</f>
        <v>1.2987012987012987</v>
      </c>
      <c r="N10" s="31">
        <v>475</v>
      </c>
      <c r="O10" s="31">
        <v>0.97</v>
      </c>
      <c r="P10" s="33">
        <f>(0.04+M8+M9+0.5*M10)*(K10/100)*N10*O10*0.2776</f>
        <v>18.16657777330945</v>
      </c>
    </row>
    <row r="11" spans="2:16" ht="24.75">
      <c r="B11" s="28" t="s">
        <v>63</v>
      </c>
      <c r="C11" s="31">
        <v>1.5</v>
      </c>
      <c r="D11" s="31">
        <v>0.87</v>
      </c>
      <c r="E11" s="33">
        <f>C11*0.01/D11</f>
        <v>0.017241379310344827</v>
      </c>
      <c r="F11" s="31">
        <v>1800</v>
      </c>
      <c r="G11" s="31">
        <v>0.86</v>
      </c>
      <c r="H11" s="33">
        <f>(0.04+E8+E9+E10+0.5*E11)*(C11/100)*F11*G11*0.2776</f>
        <v>8.818821775297804</v>
      </c>
      <c r="J11" s="79" t="s">
        <v>146</v>
      </c>
      <c r="K11" s="31">
        <v>1.5</v>
      </c>
      <c r="L11" s="31">
        <v>0.35</v>
      </c>
      <c r="M11" s="33">
        <f>K11*0.01/L11</f>
        <v>0.04285714285714286</v>
      </c>
      <c r="N11" s="31">
        <v>1200</v>
      </c>
      <c r="O11" s="31">
        <v>1.08</v>
      </c>
      <c r="P11" s="33">
        <f>(0.04+M8+M9+M10+0.5*M11)*(K11/100)*N11*O11*0.2776</f>
        <v>7.4523179233676675</v>
      </c>
    </row>
    <row r="12" spans="3:16" ht="12">
      <c r="C12" s="34">
        <f>SUM(C8:C11)</f>
        <v>23.5</v>
      </c>
      <c r="D12" s="31"/>
      <c r="E12" s="31"/>
      <c r="F12" s="31"/>
      <c r="G12" s="31"/>
      <c r="H12" s="33">
        <f>SUM(H8:H11)</f>
        <v>27.446275581316613</v>
      </c>
      <c r="K12" s="34">
        <f>SUM(K8:K11)</f>
        <v>23.5</v>
      </c>
      <c r="L12" s="31"/>
      <c r="M12" s="31"/>
      <c r="N12" s="31"/>
      <c r="O12" s="31"/>
      <c r="P12" s="33">
        <f>SUM(P8:P11)</f>
        <v>26.07977172938648</v>
      </c>
    </row>
    <row r="16" spans="2:16" ht="37.5">
      <c r="B16" s="28" t="s">
        <v>60</v>
      </c>
      <c r="C16" s="31">
        <v>1.5</v>
      </c>
      <c r="D16" s="31">
        <v>0.87</v>
      </c>
      <c r="E16" s="33">
        <f>C16*0.01/D16</f>
        <v>0.017241379310344827</v>
      </c>
      <c r="F16" s="31">
        <v>1800</v>
      </c>
      <c r="G16" s="31">
        <v>0.86</v>
      </c>
      <c r="H16" s="33">
        <f>(0.04+0.5*E16)*(C16/100)*F16*G16*0.2776</f>
        <v>0.3134027420689655</v>
      </c>
      <c r="J16" s="28" t="s">
        <v>60</v>
      </c>
      <c r="K16" s="31">
        <v>1.5</v>
      </c>
      <c r="L16" s="31">
        <v>0.87</v>
      </c>
      <c r="M16" s="33">
        <f>K16*0.01/L16</f>
        <v>0.017241379310344827</v>
      </c>
      <c r="N16" s="31">
        <v>1800</v>
      </c>
      <c r="O16" s="31">
        <v>0.86</v>
      </c>
      <c r="P16" s="33">
        <f>(0.04+0.5*M16)*(K16/100)*N16*O16*0.2776</f>
        <v>0.3134027420689655</v>
      </c>
    </row>
    <row r="17" spans="2:16" ht="49.5">
      <c r="B17" s="28" t="s">
        <v>61</v>
      </c>
      <c r="C17" s="31">
        <v>0.5</v>
      </c>
      <c r="D17" s="31">
        <v>1.4</v>
      </c>
      <c r="E17" s="33">
        <f>C17*0.01/D17</f>
        <v>0.0035714285714285718</v>
      </c>
      <c r="F17" s="31">
        <v>2000</v>
      </c>
      <c r="G17" s="31">
        <v>0.9</v>
      </c>
      <c r="H17" s="33">
        <f>(0.04+E16+0.5*E17)*(C17/100)*F17*G17*0.2776</f>
        <v>0.14747329064039413</v>
      </c>
      <c r="J17" s="28" t="s">
        <v>61</v>
      </c>
      <c r="K17" s="31">
        <v>0.5</v>
      </c>
      <c r="L17" s="31">
        <v>1.4</v>
      </c>
      <c r="M17" s="33">
        <f>K17*0.01/L17</f>
        <v>0.0035714285714285718</v>
      </c>
      <c r="N17" s="31">
        <v>2000</v>
      </c>
      <c r="O17" s="31">
        <v>0.9</v>
      </c>
      <c r="P17" s="33">
        <f>(0.04+M16+0.5*M17)*(K17/100)*N17*O17*0.2776</f>
        <v>0.14747329064039413</v>
      </c>
    </row>
    <row r="18" spans="2:16" ht="37.5">
      <c r="B18" s="28" t="s">
        <v>62</v>
      </c>
      <c r="C18" s="31">
        <v>22</v>
      </c>
      <c r="D18" s="31">
        <v>0.154</v>
      </c>
      <c r="E18" s="33">
        <f>C18*0.01/D18</f>
        <v>1.4285714285714286</v>
      </c>
      <c r="F18" s="31">
        <v>475</v>
      </c>
      <c r="G18" s="31">
        <v>0.97</v>
      </c>
      <c r="H18" s="33">
        <f>(0.04+E16+E17+0.5*E18)*(C18/100)*F18*G18*0.2776</f>
        <v>21.810438407783256</v>
      </c>
      <c r="J18" s="28" t="s">
        <v>62</v>
      </c>
      <c r="K18" s="31">
        <v>22</v>
      </c>
      <c r="L18" s="31">
        <v>0.154</v>
      </c>
      <c r="M18" s="33">
        <f>K18*0.01/L18</f>
        <v>1.4285714285714286</v>
      </c>
      <c r="N18" s="31">
        <v>475</v>
      </c>
      <c r="O18" s="31">
        <v>0.97</v>
      </c>
      <c r="P18" s="33">
        <f>(0.04+M16+M17+0.5*M18)*(K18/100)*N18*O18*0.2776</f>
        <v>21.810438407783256</v>
      </c>
    </row>
    <row r="19" spans="2:16" ht="24.75">
      <c r="B19" s="28" t="s">
        <v>63</v>
      </c>
      <c r="C19" s="31">
        <v>1.5</v>
      </c>
      <c r="D19" s="31">
        <v>0.87</v>
      </c>
      <c r="E19" s="33">
        <f>C19*0.01/D19</f>
        <v>0.017241379310344827</v>
      </c>
      <c r="F19" s="31">
        <v>1800</v>
      </c>
      <c r="G19" s="31">
        <v>0.86</v>
      </c>
      <c r="H19" s="33">
        <f>(0.04+E16+E17+E18+0.5*E19)*(C19/100)*F19*G19*0.2776</f>
        <v>9.655948009064039</v>
      </c>
      <c r="J19" s="79" t="s">
        <v>146</v>
      </c>
      <c r="K19" s="31">
        <v>1.5</v>
      </c>
      <c r="L19" s="31">
        <v>0.35</v>
      </c>
      <c r="M19" s="33">
        <f>K19*0.01/L19</f>
        <v>0.04285714285714286</v>
      </c>
      <c r="N19" s="31">
        <v>1200</v>
      </c>
      <c r="O19" s="31">
        <v>1.08</v>
      </c>
      <c r="P19" s="33">
        <f>(0.04+M16+M17+M18+0.5*M19)*(K19/100)*N19*O19*0.2776</f>
        <v>8.153167793497538</v>
      </c>
    </row>
    <row r="20" spans="3:16" ht="12">
      <c r="C20" s="34">
        <f>SUM(C16:C19)</f>
        <v>25.5</v>
      </c>
      <c r="D20" s="31"/>
      <c r="E20" s="31"/>
      <c r="F20" s="31"/>
      <c r="G20" s="31"/>
      <c r="H20" s="33">
        <f>SUM(H16:H19)</f>
        <v>31.927262449556657</v>
      </c>
      <c r="K20" s="34">
        <f>SUM(K16:K19)</f>
        <v>25.5</v>
      </c>
      <c r="L20" s="31"/>
      <c r="M20" s="31"/>
      <c r="N20" s="31"/>
      <c r="O20" s="31"/>
      <c r="P20" s="33">
        <f>SUM(P16:P19)</f>
        <v>30.424482233990155</v>
      </c>
    </row>
    <row r="23" spans="2:16" ht="37.5">
      <c r="B23" s="28" t="s">
        <v>60</v>
      </c>
      <c r="C23" s="31">
        <v>1.5</v>
      </c>
      <c r="D23" s="31">
        <v>0.87</v>
      </c>
      <c r="E23" s="33">
        <f>C23*0.01/D23</f>
        <v>0.017241379310344827</v>
      </c>
      <c r="F23" s="31">
        <v>1800</v>
      </c>
      <c r="G23" s="31">
        <v>0.86</v>
      </c>
      <c r="H23" s="33">
        <f>(0.04+0.5*E23)*(C23/100)*F23*G23*0.2776</f>
        <v>0.3134027420689655</v>
      </c>
      <c r="J23" s="28" t="s">
        <v>60</v>
      </c>
      <c r="K23" s="31">
        <v>1.5</v>
      </c>
      <c r="L23" s="31">
        <v>0.87</v>
      </c>
      <c r="M23" s="33">
        <f>K23*0.01/L23</f>
        <v>0.017241379310344827</v>
      </c>
      <c r="N23" s="31">
        <v>1800</v>
      </c>
      <c r="O23" s="31">
        <v>0.86</v>
      </c>
      <c r="P23" s="33">
        <f>(0.04+0.5*M23)*(K23/100)*N23*O23*0.2776</f>
        <v>0.3134027420689655</v>
      </c>
    </row>
    <row r="24" spans="2:16" ht="49.5">
      <c r="B24" s="28" t="s">
        <v>61</v>
      </c>
      <c r="C24" s="31">
        <v>0.5</v>
      </c>
      <c r="D24" s="31">
        <v>1.4</v>
      </c>
      <c r="E24" s="33">
        <f>C24*0.01/D24</f>
        <v>0.0035714285714285718</v>
      </c>
      <c r="F24" s="31">
        <v>2000</v>
      </c>
      <c r="G24" s="31">
        <v>0.9</v>
      </c>
      <c r="H24" s="33">
        <f>(0.04+E23+0.5*E24)*(C24/100)*F24*G24*0.2776</f>
        <v>0.14747329064039413</v>
      </c>
      <c r="J24" s="28" t="s">
        <v>61</v>
      </c>
      <c r="K24" s="31">
        <v>0.5</v>
      </c>
      <c r="L24" s="31">
        <v>1.4</v>
      </c>
      <c r="M24" s="33">
        <f>K24*0.01/L24</f>
        <v>0.0035714285714285718</v>
      </c>
      <c r="N24" s="31">
        <v>2000</v>
      </c>
      <c r="O24" s="31">
        <v>0.9</v>
      </c>
      <c r="P24" s="33">
        <f>(0.04+M23+0.5*M24)*(K24/100)*N24*O24*0.2776</f>
        <v>0.14747329064039413</v>
      </c>
    </row>
    <row r="25" spans="2:16" ht="37.5">
      <c r="B25" s="28" t="s">
        <v>62</v>
      </c>
      <c r="C25" s="31">
        <v>25</v>
      </c>
      <c r="D25" s="31">
        <v>0.154</v>
      </c>
      <c r="E25" s="33">
        <f>C25*0.01/D25</f>
        <v>1.6233766233766234</v>
      </c>
      <c r="F25" s="31">
        <v>475</v>
      </c>
      <c r="G25" s="31">
        <v>0.97</v>
      </c>
      <c r="H25" s="33">
        <f>(0.04+E23+E24+0.5*E25)*(C25/100)*F25*G25*0.2776</f>
        <v>27.899139424429023</v>
      </c>
      <c r="J25" s="28" t="s">
        <v>62</v>
      </c>
      <c r="K25" s="31">
        <v>25</v>
      </c>
      <c r="L25" s="31">
        <v>0.154</v>
      </c>
      <c r="M25" s="33">
        <f>K25*0.01/L25</f>
        <v>1.6233766233766234</v>
      </c>
      <c r="N25" s="31">
        <v>475</v>
      </c>
      <c r="O25" s="31">
        <v>0.97</v>
      </c>
      <c r="P25" s="33">
        <f>(0.04+M23+M24+0.5*M25)*(K25/100)*N25*O25*0.2776</f>
        <v>27.899139424429023</v>
      </c>
    </row>
    <row r="26" spans="2:16" ht="24.75">
      <c r="B26" s="28" t="s">
        <v>63</v>
      </c>
      <c r="C26" s="31">
        <v>1.5</v>
      </c>
      <c r="D26" s="31">
        <v>0.87</v>
      </c>
      <c r="E26" s="33">
        <f>C26*0.01/D26</f>
        <v>0.017241379310344827</v>
      </c>
      <c r="F26" s="31">
        <v>1800</v>
      </c>
      <c r="G26" s="31">
        <v>0.86</v>
      </c>
      <c r="H26" s="33">
        <f>(0.04+E23+E24+E25+0.5*E26)*(C26/100)*F26*G26*0.2776</f>
        <v>10.91163735971339</v>
      </c>
      <c r="J26" s="79" t="s">
        <v>146</v>
      </c>
      <c r="K26" s="31">
        <v>1.5</v>
      </c>
      <c r="L26" s="31">
        <v>0.35</v>
      </c>
      <c r="M26" s="33">
        <f>K26*0.01/L26</f>
        <v>0.04285714285714286</v>
      </c>
      <c r="N26" s="31">
        <v>1200</v>
      </c>
      <c r="O26" s="31">
        <v>1.08</v>
      </c>
      <c r="P26" s="33">
        <f>(0.04+M23+M24+M25+0.5*M26)*(K26/100)*N26*O26*0.2776</f>
        <v>9.204442598692342</v>
      </c>
    </row>
    <row r="27" spans="3:16" ht="12">
      <c r="C27" s="34">
        <f>SUM(C23:C26)</f>
        <v>28.5</v>
      </c>
      <c r="D27" s="31"/>
      <c r="E27" s="31"/>
      <c r="F27" s="31"/>
      <c r="G27" s="31"/>
      <c r="H27" s="33">
        <f>SUM(H23:H26)</f>
        <v>39.27165281685178</v>
      </c>
      <c r="K27" s="34">
        <f>SUM(K23:K26)</f>
        <v>28.5</v>
      </c>
      <c r="L27" s="31"/>
      <c r="M27" s="31"/>
      <c r="N27" s="31"/>
      <c r="O27" s="31"/>
      <c r="P27" s="33">
        <f>SUM(P23:P26)</f>
        <v>37.56445805583073</v>
      </c>
    </row>
    <row r="31" spans="2:16" ht="37.5">
      <c r="B31" s="28" t="s">
        <v>60</v>
      </c>
      <c r="C31" s="31">
        <v>1.5</v>
      </c>
      <c r="D31" s="31">
        <v>0.87</v>
      </c>
      <c r="E31" s="33">
        <f>C31*0.01/D31</f>
        <v>0.017241379310344827</v>
      </c>
      <c r="F31" s="31">
        <v>1800</v>
      </c>
      <c r="G31" s="31">
        <v>0.86</v>
      </c>
      <c r="H31" s="33">
        <f>(0.04+0.5*E31)*(C31/100)*F31*G31*0.2776</f>
        <v>0.3134027420689655</v>
      </c>
      <c r="J31" s="28" t="s">
        <v>60</v>
      </c>
      <c r="K31" s="31">
        <v>1.5</v>
      </c>
      <c r="L31" s="31">
        <v>0.87</v>
      </c>
      <c r="M31" s="33">
        <f>K31*0.01/L31</f>
        <v>0.017241379310344827</v>
      </c>
      <c r="N31" s="31">
        <v>1800</v>
      </c>
      <c r="O31" s="31">
        <v>0.86</v>
      </c>
      <c r="P31" s="33">
        <f>(0.04+0.5*M31)*(K31/100)*N31*O31*0.2776</f>
        <v>0.3134027420689655</v>
      </c>
    </row>
    <row r="32" spans="2:16" ht="49.5">
      <c r="B32" s="28" t="s">
        <v>61</v>
      </c>
      <c r="C32" s="31">
        <v>0.5</v>
      </c>
      <c r="D32" s="31">
        <v>1.4</v>
      </c>
      <c r="E32" s="33">
        <f>C32*0.01/D32</f>
        <v>0.0035714285714285718</v>
      </c>
      <c r="F32" s="31">
        <v>2000</v>
      </c>
      <c r="G32" s="31">
        <v>0.9</v>
      </c>
      <c r="H32" s="33">
        <f>(0.04+E31+0.5*E32)*(C32/100)*F32*G32*0.2776</f>
        <v>0.14747329064039413</v>
      </c>
      <c r="J32" s="28" t="s">
        <v>61</v>
      </c>
      <c r="K32" s="31">
        <v>0.5</v>
      </c>
      <c r="L32" s="31">
        <v>1.4</v>
      </c>
      <c r="M32" s="33">
        <f>K32*0.01/L32</f>
        <v>0.0035714285714285718</v>
      </c>
      <c r="N32" s="31">
        <v>2000</v>
      </c>
      <c r="O32" s="31">
        <v>0.9</v>
      </c>
      <c r="P32" s="33">
        <f>(0.04+M31+0.5*M32)*(K32/100)*N32*O32*0.2776</f>
        <v>0.14747329064039413</v>
      </c>
    </row>
    <row r="33" spans="2:16" ht="37.5">
      <c r="B33" s="28" t="s">
        <v>62</v>
      </c>
      <c r="C33" s="31">
        <v>30</v>
      </c>
      <c r="D33" s="31">
        <v>0.154</v>
      </c>
      <c r="E33" s="33">
        <f>C33*0.01/D33</f>
        <v>1.948051948051948</v>
      </c>
      <c r="F33" s="31">
        <v>475</v>
      </c>
      <c r="G33" s="31">
        <v>0.97</v>
      </c>
      <c r="H33" s="33">
        <f>(0.04+E31+E32+0.5*E33)*(C33/100)*F33*G33*0.2776</f>
        <v>39.708067958665474</v>
      </c>
      <c r="J33" s="28" t="s">
        <v>62</v>
      </c>
      <c r="K33" s="31">
        <v>30</v>
      </c>
      <c r="L33" s="31">
        <v>0.154</v>
      </c>
      <c r="M33" s="33">
        <f>K33*0.01/L33</f>
        <v>1.948051948051948</v>
      </c>
      <c r="N33" s="31">
        <v>475</v>
      </c>
      <c r="O33" s="31">
        <v>0.97</v>
      </c>
      <c r="P33" s="33">
        <f>(0.04+M31+M32+0.5*M33)*(K33/100)*N33*O33*0.2776</f>
        <v>39.708067958665474</v>
      </c>
    </row>
    <row r="34" spans="2:16" ht="24.75">
      <c r="B34" s="28" t="s">
        <v>63</v>
      </c>
      <c r="C34" s="31">
        <v>1.5</v>
      </c>
      <c r="D34" s="31">
        <v>0.87</v>
      </c>
      <c r="E34" s="33">
        <f>C34*0.01/D34</f>
        <v>0.017241379310344827</v>
      </c>
      <c r="F34" s="31">
        <v>1800</v>
      </c>
      <c r="G34" s="31">
        <v>0.86</v>
      </c>
      <c r="H34" s="33">
        <f>(0.04+E31+E32+E33+0.5*E34)*(C34/100)*F34*G34*0.2776</f>
        <v>13.004452944128975</v>
      </c>
      <c r="J34" s="79" t="s">
        <v>146</v>
      </c>
      <c r="K34" s="31">
        <v>1.5</v>
      </c>
      <c r="L34" s="31">
        <v>0.35</v>
      </c>
      <c r="M34" s="33">
        <f>K34*0.01/L34</f>
        <v>0.04285714285714286</v>
      </c>
      <c r="N34" s="31">
        <v>1200</v>
      </c>
      <c r="O34" s="31">
        <v>1.08</v>
      </c>
      <c r="P34" s="33">
        <f>(0.04+M31+M32+M33+0.5*M34)*(K34/100)*N34*O34*0.2776</f>
        <v>10.95656727401702</v>
      </c>
    </row>
    <row r="35" spans="3:16" ht="12">
      <c r="C35" s="34">
        <f>SUM(C31:C34)</f>
        <v>33.5</v>
      </c>
      <c r="D35" s="31"/>
      <c r="E35" s="31"/>
      <c r="F35" s="31"/>
      <c r="G35" s="31"/>
      <c r="H35" s="33">
        <f>SUM(H31:H34)</f>
        <v>53.1733969355038</v>
      </c>
      <c r="K35" s="34">
        <f>SUM(K31:K34)</f>
        <v>33.5</v>
      </c>
      <c r="L35" s="31"/>
      <c r="M35" s="31"/>
      <c r="N35" s="31"/>
      <c r="O35" s="31"/>
      <c r="P35" s="33">
        <f>SUM(P31:P34)</f>
        <v>51.12551126539185</v>
      </c>
    </row>
    <row r="39" spans="2:16" ht="37.5">
      <c r="B39" s="28" t="s">
        <v>42</v>
      </c>
      <c r="C39" s="28" t="s">
        <v>43</v>
      </c>
      <c r="D39" s="28" t="s">
        <v>44</v>
      </c>
      <c r="E39" s="28" t="s">
        <v>45</v>
      </c>
      <c r="F39" s="28" t="s">
        <v>46</v>
      </c>
      <c r="G39" s="28" t="s">
        <v>47</v>
      </c>
      <c r="H39" s="29" t="s">
        <v>48</v>
      </c>
      <c r="J39" s="28" t="s">
        <v>42</v>
      </c>
      <c r="K39" s="28" t="s">
        <v>43</v>
      </c>
      <c r="L39" s="28" t="s">
        <v>44</v>
      </c>
      <c r="M39" s="28" t="s">
        <v>45</v>
      </c>
      <c r="N39" s="28" t="s">
        <v>46</v>
      </c>
      <c r="O39" s="28" t="s">
        <v>47</v>
      </c>
      <c r="P39" s="29" t="s">
        <v>48</v>
      </c>
    </row>
    <row r="40" spans="2:16" ht="12">
      <c r="B40" s="30"/>
      <c r="C40" s="30" t="s">
        <v>49</v>
      </c>
      <c r="D40" s="30" t="s">
        <v>50</v>
      </c>
      <c r="E40" s="30" t="s">
        <v>28</v>
      </c>
      <c r="F40" s="30" t="s">
        <v>51</v>
      </c>
      <c r="G40" s="30" t="s">
        <v>52</v>
      </c>
      <c r="H40" s="30" t="s">
        <v>53</v>
      </c>
      <c r="J40" s="30"/>
      <c r="K40" s="30" t="s">
        <v>49</v>
      </c>
      <c r="L40" s="30" t="s">
        <v>50</v>
      </c>
      <c r="M40" s="30" t="s">
        <v>28</v>
      </c>
      <c r="N40" s="30" t="s">
        <v>51</v>
      </c>
      <c r="O40" s="30" t="s">
        <v>52</v>
      </c>
      <c r="P40" s="30" t="s">
        <v>53</v>
      </c>
    </row>
    <row r="41" spans="2:16" ht="14.25">
      <c r="B41" s="31"/>
      <c r="C41" s="32" t="s">
        <v>54</v>
      </c>
      <c r="D41" s="32" t="s">
        <v>55</v>
      </c>
      <c r="E41" s="32" t="s">
        <v>56</v>
      </c>
      <c r="F41" s="32" t="s">
        <v>57</v>
      </c>
      <c r="G41" s="32" t="s">
        <v>58</v>
      </c>
      <c r="H41" s="31" t="s">
        <v>59</v>
      </c>
      <c r="J41" s="31"/>
      <c r="K41" s="32" t="s">
        <v>54</v>
      </c>
      <c r="L41" s="32" t="s">
        <v>55</v>
      </c>
      <c r="M41" s="32" t="s">
        <v>56</v>
      </c>
      <c r="N41" s="32" t="s">
        <v>57</v>
      </c>
      <c r="O41" s="32" t="s">
        <v>58</v>
      </c>
      <c r="P41" s="31" t="s">
        <v>59</v>
      </c>
    </row>
    <row r="43" spans="2:16" ht="24.75">
      <c r="B43" s="28" t="s">
        <v>64</v>
      </c>
      <c r="C43" s="31">
        <v>4</v>
      </c>
      <c r="D43" s="31">
        <v>2.3</v>
      </c>
      <c r="E43" s="33">
        <f>C43*0.01/D43</f>
        <v>0.017391304347826087</v>
      </c>
      <c r="F43" s="31">
        <v>2600</v>
      </c>
      <c r="G43" s="31">
        <v>0.86</v>
      </c>
      <c r="H43" s="33">
        <f>(0.04+0.5*E43)*(C43/100)*F43*G43*0.2776</f>
        <v>1.2090421426086957</v>
      </c>
      <c r="J43" s="28" t="s">
        <v>64</v>
      </c>
      <c r="K43" s="31">
        <v>4</v>
      </c>
      <c r="L43" s="31">
        <v>2.3</v>
      </c>
      <c r="M43" s="33">
        <f>K43*0.01/L43</f>
        <v>0.017391304347826087</v>
      </c>
      <c r="N43" s="31">
        <v>2600</v>
      </c>
      <c r="O43" s="31">
        <v>0.86</v>
      </c>
      <c r="P43" s="33">
        <f>(0.04+0.5*M43)*(K43/100)*N43*O43*0.2776</f>
        <v>1.2090421426086957</v>
      </c>
    </row>
    <row r="44" spans="2:16" ht="49.5">
      <c r="B44" s="28" t="s">
        <v>65</v>
      </c>
      <c r="C44" s="31">
        <v>4</v>
      </c>
      <c r="D44" s="31">
        <v>1.4</v>
      </c>
      <c r="E44" s="33">
        <f>C44*0.01/D44</f>
        <v>0.028571428571428574</v>
      </c>
      <c r="F44" s="31">
        <v>2000</v>
      </c>
      <c r="G44" s="31">
        <v>0.9</v>
      </c>
      <c r="H44" s="33">
        <f>(0.04+E43+0.5*E44)*(C44/100)*F44*G44*0.2776</f>
        <v>1.4326229068322986</v>
      </c>
      <c r="J44" s="28" t="s">
        <v>65</v>
      </c>
      <c r="K44" s="31">
        <v>4</v>
      </c>
      <c r="L44" s="31">
        <v>1.4</v>
      </c>
      <c r="M44" s="33">
        <f>K44*0.01/L44</f>
        <v>0.028571428571428574</v>
      </c>
      <c r="N44" s="31">
        <v>2000</v>
      </c>
      <c r="O44" s="31">
        <v>0.9</v>
      </c>
      <c r="P44" s="33">
        <f>(0.04+M43+0.5*M44)*(K44/100)*N44*O44*0.2776</f>
        <v>1.4326229068322986</v>
      </c>
    </row>
    <row r="45" spans="2:16" ht="49.5">
      <c r="B45" s="28" t="s">
        <v>61</v>
      </c>
      <c r="C45" s="31">
        <v>0.8</v>
      </c>
      <c r="D45" s="31">
        <v>1.4</v>
      </c>
      <c r="E45" s="33">
        <f>C45*0.01/D45</f>
        <v>0.005714285714285715</v>
      </c>
      <c r="F45" s="31">
        <v>2000</v>
      </c>
      <c r="G45" s="31">
        <v>0.9</v>
      </c>
      <c r="H45" s="33">
        <f>(0.04+E43+E44+0.5*E45)*(C45/100)*F45*G45*0.2776</f>
        <v>0.35505212422360255</v>
      </c>
      <c r="J45" s="28" t="s">
        <v>61</v>
      </c>
      <c r="K45" s="31">
        <v>0.8</v>
      </c>
      <c r="L45" s="31">
        <v>1.4</v>
      </c>
      <c r="M45" s="33">
        <f>K45*0.01/L45</f>
        <v>0.005714285714285715</v>
      </c>
      <c r="N45" s="31">
        <v>2000</v>
      </c>
      <c r="O45" s="31">
        <v>0.9</v>
      </c>
      <c r="P45" s="33">
        <f>(0.04+M43+M44+0.5*M45)*(K45/100)*N45*O45*0.2776</f>
        <v>0.35505212422360255</v>
      </c>
    </row>
    <row r="46" spans="2:16" ht="37.5">
      <c r="B46" s="28" t="s">
        <v>62</v>
      </c>
      <c r="C46" s="31">
        <v>30</v>
      </c>
      <c r="D46" s="31">
        <v>0.154</v>
      </c>
      <c r="E46" s="33">
        <f>C46*0.01/D46</f>
        <v>1.948051948051948</v>
      </c>
      <c r="F46" s="31">
        <v>475</v>
      </c>
      <c r="G46" s="31">
        <v>0.97</v>
      </c>
      <c r="H46" s="33">
        <f>(0.04+E43+E44+E45+0.5*E46)*(C46/100)*F46*G46*0.2776</f>
        <v>40.89236661411631</v>
      </c>
      <c r="J46" s="28" t="s">
        <v>62</v>
      </c>
      <c r="K46" s="31">
        <v>30</v>
      </c>
      <c r="L46" s="31">
        <v>0.154</v>
      </c>
      <c r="M46" s="33">
        <f>K46*0.01/L46</f>
        <v>1.948051948051948</v>
      </c>
      <c r="N46" s="31">
        <v>475</v>
      </c>
      <c r="O46" s="31">
        <v>0.97</v>
      </c>
      <c r="P46" s="33">
        <f>(0.04+M43+M44+M45+0.5*M46)*(K46/100)*N46*O46*0.2776</f>
        <v>40.89236661411631</v>
      </c>
    </row>
    <row r="47" spans="2:16" ht="24.75">
      <c r="B47" s="28" t="s">
        <v>63</v>
      </c>
      <c r="C47" s="31">
        <v>1.5</v>
      </c>
      <c r="D47" s="31">
        <v>0.87</v>
      </c>
      <c r="E47" s="33">
        <f>C47*0.01/D47</f>
        <v>0.017241379310344827</v>
      </c>
      <c r="F47" s="31">
        <v>1800</v>
      </c>
      <c r="G47" s="31">
        <v>0.86</v>
      </c>
      <c r="H47" s="33">
        <f>(0.04+E43+E44+E45+E46+0.5*E47)*(C47/100)*F47*G47*0.2776</f>
        <v>13.203399696015888</v>
      </c>
      <c r="J47" s="79" t="s">
        <v>146</v>
      </c>
      <c r="K47" s="31">
        <v>1.5</v>
      </c>
      <c r="L47" s="31">
        <v>0.35</v>
      </c>
      <c r="M47" s="33">
        <f>K47*0.01/L47</f>
        <v>0.04285714285714286</v>
      </c>
      <c r="N47" s="31">
        <v>1200</v>
      </c>
      <c r="O47" s="31">
        <v>1.08</v>
      </c>
      <c r="P47" s="33">
        <f>(0.04+M44+M45+M46+0.5*M47)*(K47/100)*N47*O47*0.2776</f>
        <v>11.029274406233766</v>
      </c>
    </row>
    <row r="48" spans="3:16" ht="12">
      <c r="C48" s="34">
        <f>SUM(C43:C47)</f>
        <v>40.3</v>
      </c>
      <c r="D48" s="31"/>
      <c r="E48" s="31"/>
      <c r="F48" s="31"/>
      <c r="G48" s="31"/>
      <c r="H48" s="33">
        <f>SUM(H43:H47)</f>
        <v>57.0924834837968</v>
      </c>
      <c r="K48" s="34">
        <f>SUM(K43:K47)</f>
        <v>40.3</v>
      </c>
      <c r="L48" s="31"/>
      <c r="M48" s="31"/>
      <c r="N48" s="31"/>
      <c r="O48" s="31"/>
      <c r="P48" s="33">
        <f>SUM(P43:P47)</f>
        <v>54.91835819401468</v>
      </c>
    </row>
  </sheetData>
  <sheetProtection/>
  <printOptions horizontalCentered="1" verticalCentered="1"/>
  <pageMargins left="0.7480314960629921" right="0.7480314960629921" top="0.984251968503937" bottom="0.984251968503937" header="0.5118110236220472" footer="0.5118110236220472"/>
  <pageSetup horizontalDpi="300" verticalDpi="300" orientation="portrait" paperSize="9" scale="94" r:id="rId1"/>
  <headerFooter alignWithMargins="0">
    <oddHeader>&amp;C&amp;F
&amp;A</oddHeader>
  </headerFooter>
</worksheet>
</file>

<file path=xl/worksheets/sheet7.xml><?xml version="1.0" encoding="utf-8"?>
<worksheet xmlns="http://schemas.openxmlformats.org/spreadsheetml/2006/main" xmlns:r="http://schemas.openxmlformats.org/officeDocument/2006/relationships">
  <dimension ref="A1:J32"/>
  <sheetViews>
    <sheetView rightToLeft="1" zoomScalePageLayoutView="0" workbookViewId="0" topLeftCell="A7">
      <selection activeCell="D53" sqref="D53"/>
    </sheetView>
  </sheetViews>
  <sheetFormatPr defaultColWidth="9.140625" defaultRowHeight="12.75"/>
  <cols>
    <col min="1" max="1" width="20.00390625" style="0" customWidth="1"/>
  </cols>
  <sheetData>
    <row r="1" ht="12">
      <c r="A1" t="s">
        <v>75</v>
      </c>
    </row>
    <row r="3" spans="3:10" ht="12">
      <c r="C3" t="s">
        <v>76</v>
      </c>
      <c r="D3" t="s">
        <v>28</v>
      </c>
      <c r="E3" t="s">
        <v>27</v>
      </c>
      <c r="F3" t="s">
        <v>26</v>
      </c>
      <c r="G3" s="35" t="s">
        <v>82</v>
      </c>
      <c r="H3" t="s">
        <v>88</v>
      </c>
      <c r="I3" t="s">
        <v>77</v>
      </c>
      <c r="J3" t="s">
        <v>92</v>
      </c>
    </row>
    <row r="4" spans="1:7" ht="12.75">
      <c r="A4" s="40" t="s">
        <v>93</v>
      </c>
      <c r="G4" s="35"/>
    </row>
    <row r="5" spans="1:8" ht="12">
      <c r="A5" t="s">
        <v>78</v>
      </c>
      <c r="C5">
        <v>59.5</v>
      </c>
      <c r="D5">
        <v>0.5</v>
      </c>
      <c r="E5">
        <f>D5+0.16</f>
        <v>0.66</v>
      </c>
      <c r="F5" s="36">
        <f>1/E5</f>
        <v>1.5151515151515151</v>
      </c>
      <c r="G5" s="36"/>
      <c r="H5" s="36">
        <f>C5/E5</f>
        <v>90.15151515151514</v>
      </c>
    </row>
    <row r="6" spans="1:8" ht="12">
      <c r="A6" t="s">
        <v>79</v>
      </c>
      <c r="F6" s="36"/>
      <c r="G6" s="36"/>
      <c r="H6" s="36"/>
    </row>
    <row r="7" spans="1:8" ht="12">
      <c r="A7" t="s">
        <v>80</v>
      </c>
      <c r="C7">
        <v>10.5</v>
      </c>
      <c r="D7">
        <v>0.4</v>
      </c>
      <c r="E7">
        <f>D7+0.16</f>
        <v>0.56</v>
      </c>
      <c r="F7" s="36">
        <f>1/E7</f>
        <v>1.7857142857142856</v>
      </c>
      <c r="G7" s="36"/>
      <c r="H7" s="36">
        <f>C7/E7</f>
        <v>18.749999999999996</v>
      </c>
    </row>
    <row r="8" spans="1:8" ht="12">
      <c r="A8" t="s">
        <v>81</v>
      </c>
      <c r="F8" s="36"/>
      <c r="G8" s="36"/>
      <c r="H8" s="36"/>
    </row>
    <row r="9" spans="1:8" ht="12">
      <c r="A9" t="s">
        <v>83</v>
      </c>
      <c r="C9">
        <v>15</v>
      </c>
      <c r="E9">
        <v>0.17</v>
      </c>
      <c r="F9" s="36">
        <f>1/E9</f>
        <v>5.88235294117647</v>
      </c>
      <c r="G9" s="36"/>
      <c r="H9" s="36">
        <f>C9/E9</f>
        <v>88.23529411764706</v>
      </c>
    </row>
    <row r="10" spans="1:8" ht="12">
      <c r="A10" t="s">
        <v>84</v>
      </c>
      <c r="F10" s="36"/>
      <c r="G10" s="36"/>
      <c r="H10" s="36"/>
    </row>
    <row r="11" spans="1:8" ht="12">
      <c r="A11" t="s">
        <v>85</v>
      </c>
      <c r="F11" s="36"/>
      <c r="G11" s="36"/>
      <c r="H11" s="36"/>
    </row>
    <row r="12" spans="1:8" ht="12">
      <c r="A12" t="s">
        <v>86</v>
      </c>
      <c r="F12" s="36"/>
      <c r="G12" s="36"/>
      <c r="H12" s="36"/>
    </row>
    <row r="13" spans="1:8" ht="12">
      <c r="A13" t="s">
        <v>87</v>
      </c>
      <c r="F13" s="36"/>
      <c r="G13" s="36"/>
      <c r="H13" s="36"/>
    </row>
    <row r="14" spans="6:8" ht="12">
      <c r="F14" s="36"/>
      <c r="G14" s="36"/>
      <c r="H14" s="36"/>
    </row>
    <row r="15" spans="1:7" ht="12.75">
      <c r="A15" s="40" t="s">
        <v>94</v>
      </c>
      <c r="G15" s="35"/>
    </row>
    <row r="16" spans="1:8" ht="12">
      <c r="A16" t="s">
        <v>78</v>
      </c>
      <c r="B16" t="s">
        <v>95</v>
      </c>
      <c r="C16">
        <v>15</v>
      </c>
      <c r="D16">
        <v>0.3</v>
      </c>
      <c r="E16">
        <f>D16+0.24</f>
        <v>0.54</v>
      </c>
      <c r="F16" s="36">
        <f>1/E16</f>
        <v>1.8518518518518516</v>
      </c>
      <c r="G16" s="36"/>
      <c r="H16" s="36">
        <f>C16/E16</f>
        <v>27.777777777777775</v>
      </c>
    </row>
    <row r="17" spans="1:8" ht="12">
      <c r="A17" t="s">
        <v>79</v>
      </c>
      <c r="F17" s="36"/>
      <c r="G17" s="36"/>
      <c r="H17" s="36"/>
    </row>
    <row r="18" spans="1:8" ht="12">
      <c r="A18" t="s">
        <v>80</v>
      </c>
      <c r="F18" s="36"/>
      <c r="G18" s="36"/>
      <c r="H18" s="36"/>
    </row>
    <row r="19" spans="1:8" ht="12">
      <c r="A19" t="s">
        <v>81</v>
      </c>
      <c r="F19" s="36"/>
      <c r="G19" s="36"/>
      <c r="H19" s="36"/>
    </row>
    <row r="20" spans="1:8" ht="12">
      <c r="A20" t="s">
        <v>83</v>
      </c>
      <c r="B20" t="s">
        <v>96</v>
      </c>
      <c r="C20">
        <v>2</v>
      </c>
      <c r="E20">
        <f>D20+0.14</f>
        <v>0.14</v>
      </c>
      <c r="F20" s="36">
        <f>1/E20</f>
        <v>7.142857142857142</v>
      </c>
      <c r="G20" s="36"/>
      <c r="H20" s="36">
        <f>C20/E20</f>
        <v>14.285714285714285</v>
      </c>
    </row>
    <row r="21" spans="1:8" ht="12">
      <c r="A21" t="s">
        <v>84</v>
      </c>
      <c r="F21" s="36"/>
      <c r="G21" s="36"/>
      <c r="H21" s="36"/>
    </row>
    <row r="22" spans="1:8" ht="12">
      <c r="A22" t="s">
        <v>85</v>
      </c>
      <c r="F22" s="36"/>
      <c r="G22" s="36"/>
      <c r="H22" s="36"/>
    </row>
    <row r="23" spans="1:8" ht="12">
      <c r="A23" t="s">
        <v>86</v>
      </c>
      <c r="F23" s="36"/>
      <c r="G23" s="36"/>
      <c r="H23" s="36"/>
    </row>
    <row r="24" spans="1:8" ht="12">
      <c r="A24" t="s">
        <v>87</v>
      </c>
      <c r="F24" s="36"/>
      <c r="G24" s="36"/>
      <c r="H24" s="36"/>
    </row>
    <row r="25" spans="6:8" ht="12">
      <c r="F25" s="36"/>
      <c r="G25" s="36"/>
      <c r="H25" s="36"/>
    </row>
    <row r="26" spans="1:9" ht="12.75">
      <c r="A26" s="37" t="s">
        <v>11</v>
      </c>
      <c r="B26" s="37"/>
      <c r="C26" s="37">
        <f>SUM(C5:C25)</f>
        <v>102</v>
      </c>
      <c r="D26" s="37"/>
      <c r="E26" s="37"/>
      <c r="F26" s="37"/>
      <c r="G26" s="37"/>
      <c r="H26" s="38">
        <f>SUM(H5:H25)</f>
        <v>239.20030133265425</v>
      </c>
      <c r="I26" s="38">
        <f>C26/H26</f>
        <v>0.42642086749777663</v>
      </c>
    </row>
    <row r="27" spans="1:8" ht="12">
      <c r="A27" t="s">
        <v>89</v>
      </c>
      <c r="H27">
        <v>300</v>
      </c>
    </row>
    <row r="28" spans="1:8" ht="12">
      <c r="A28" t="s">
        <v>97</v>
      </c>
      <c r="H28">
        <v>100</v>
      </c>
    </row>
    <row r="29" spans="1:8" ht="24.75">
      <c r="A29" s="39" t="s">
        <v>91</v>
      </c>
      <c r="H29">
        <v>1</v>
      </c>
    </row>
    <row r="30" spans="1:8" ht="12">
      <c r="A30" t="s">
        <v>90</v>
      </c>
      <c r="H30">
        <f>(H26/H27)+0.3*H29</f>
        <v>1.0973343377755143</v>
      </c>
    </row>
    <row r="32" spans="7:8" ht="12">
      <c r="G32" s="35"/>
      <c r="H32" s="35"/>
    </row>
  </sheetData>
  <sheetProtection/>
  <printOptions horizontalCentered="1" verticalCentered="1"/>
  <pageMargins left="0.7480314960629921" right="0.7480314960629921" top="0.984251968503937" bottom="0.984251968503937" header="0.5118110236220472" footer="0.5118110236220472"/>
  <pageSetup horizontalDpi="300" verticalDpi="300" orientation="portrait" paperSize="9" scale="94" r:id="rId1"/>
  <headerFooter alignWithMargins="0">
    <oddHeader>&amp;C&amp;F
&amp;A</oddHeader>
  </headerFooter>
</worksheet>
</file>

<file path=xl/worksheets/sheet8.xml><?xml version="1.0" encoding="utf-8"?>
<worksheet xmlns="http://schemas.openxmlformats.org/spreadsheetml/2006/main" xmlns:r="http://schemas.openxmlformats.org/officeDocument/2006/relationships">
  <sheetPr>
    <pageSetUpPr fitToPage="1"/>
  </sheetPr>
  <dimension ref="A2:H72"/>
  <sheetViews>
    <sheetView rightToLeft="1" view="pageBreakPreview" zoomScale="50" zoomScaleSheetLayoutView="50" zoomScalePageLayoutView="0" workbookViewId="0" topLeftCell="A34">
      <selection activeCell="B57" sqref="B57"/>
    </sheetView>
  </sheetViews>
  <sheetFormatPr defaultColWidth="9.140625" defaultRowHeight="12.75"/>
  <cols>
    <col min="1" max="1" width="38.140625" style="0" customWidth="1"/>
    <col min="2" max="2" width="24.57421875" style="0" customWidth="1"/>
    <col min="3" max="3" width="12.140625" style="0" customWidth="1"/>
    <col min="4" max="4" width="18.00390625" style="0" customWidth="1"/>
    <col min="5" max="5" width="18.8515625" style="0" customWidth="1"/>
    <col min="6" max="6" width="17.421875" style="0" customWidth="1"/>
    <col min="7" max="7" width="15.57421875" style="0" customWidth="1"/>
    <col min="8" max="8" width="15.00390625" style="0" customWidth="1"/>
  </cols>
  <sheetData>
    <row r="1" ht="46.5" customHeight="1"/>
    <row r="2" spans="1:7" s="3" customFormat="1" ht="66.75" customHeight="1">
      <c r="A2" s="75" t="s">
        <v>140</v>
      </c>
      <c r="B2" s="54"/>
      <c r="C2" s="54"/>
      <c r="F2" s="41" t="s">
        <v>106</v>
      </c>
      <c r="G2" s="74" t="s">
        <v>137</v>
      </c>
    </row>
    <row r="3" spans="1:7" ht="24.75">
      <c r="A3" s="87" t="s">
        <v>136</v>
      </c>
      <c r="B3" s="87"/>
      <c r="C3" s="87"/>
      <c r="D3" s="87"/>
      <c r="E3" s="87"/>
      <c r="F3" s="87"/>
      <c r="G3" s="87"/>
    </row>
    <row r="4" spans="1:7" ht="47.25" customHeight="1">
      <c r="A4" s="104" t="s">
        <v>145</v>
      </c>
      <c r="B4" s="104"/>
      <c r="C4" s="104"/>
      <c r="D4" s="104"/>
      <c r="E4" s="104"/>
      <c r="F4" s="104"/>
      <c r="G4" s="104"/>
    </row>
    <row r="5" spans="1:2" ht="18" thickBot="1">
      <c r="A5" s="7"/>
      <c r="B5" s="7"/>
    </row>
    <row r="6" spans="1:7" ht="20.25" thickBot="1">
      <c r="A6" s="96" t="s">
        <v>23</v>
      </c>
      <c r="B6" s="97"/>
      <c r="C6" s="97"/>
      <c r="D6" s="97"/>
      <c r="E6" s="97"/>
      <c r="F6" s="97"/>
      <c r="G6" s="98"/>
    </row>
    <row r="7" spans="1:7" s="3" customFormat="1" ht="53.25" customHeight="1" thickBot="1">
      <c r="A7" s="1" t="s">
        <v>0</v>
      </c>
      <c r="B7" s="42"/>
      <c r="C7" s="2" t="s">
        <v>2</v>
      </c>
      <c r="D7" s="55" t="s">
        <v>1</v>
      </c>
      <c r="E7" s="55" t="s">
        <v>12</v>
      </c>
      <c r="F7" s="55" t="s">
        <v>14</v>
      </c>
      <c r="G7" s="56" t="s">
        <v>3</v>
      </c>
    </row>
    <row r="8" spans="1:7" s="3" customFormat="1" ht="19.5">
      <c r="A8" s="4"/>
      <c r="B8" s="44"/>
      <c r="C8" s="5" t="s">
        <v>7</v>
      </c>
      <c r="D8" s="57" t="s">
        <v>6</v>
      </c>
      <c r="E8" s="57" t="s">
        <v>5</v>
      </c>
      <c r="F8" s="57" t="s">
        <v>4</v>
      </c>
      <c r="G8" s="58" t="s">
        <v>10</v>
      </c>
    </row>
    <row r="9" spans="1:7" s="3" customFormat="1" ht="30.75">
      <c r="A9" s="9" t="s">
        <v>13</v>
      </c>
      <c r="B9" s="45"/>
      <c r="C9" s="24">
        <v>2</v>
      </c>
      <c r="D9" s="49">
        <v>2.3</v>
      </c>
      <c r="E9" s="50">
        <v>2600</v>
      </c>
      <c r="F9" s="59">
        <f>0.5*C9*0.01*E9</f>
        <v>26</v>
      </c>
      <c r="G9" s="60">
        <f>C9*0.01/D9</f>
        <v>0.008695652173913044</v>
      </c>
    </row>
    <row r="10" spans="1:7" s="3" customFormat="1" ht="15">
      <c r="A10" s="9" t="s">
        <v>66</v>
      </c>
      <c r="B10" s="45"/>
      <c r="C10" s="24">
        <v>0</v>
      </c>
      <c r="D10" s="49">
        <v>1.4</v>
      </c>
      <c r="E10" s="50">
        <v>2000</v>
      </c>
      <c r="F10" s="59">
        <f>0.5*C10*0.01*E10</f>
        <v>0</v>
      </c>
      <c r="G10" s="60">
        <f>C10*0.01/D10</f>
        <v>0</v>
      </c>
    </row>
    <row r="11" spans="1:7" s="3" customFormat="1" ht="15">
      <c r="A11" s="9" t="s">
        <v>29</v>
      </c>
      <c r="B11" s="45"/>
      <c r="C11" s="24">
        <v>0</v>
      </c>
      <c r="D11" s="49">
        <v>0.87</v>
      </c>
      <c r="E11" s="50">
        <v>1800</v>
      </c>
      <c r="F11" s="59">
        <f>0.5*C11*0.01*E11</f>
        <v>0</v>
      </c>
      <c r="G11" s="60">
        <f>C11*0.01/D11</f>
        <v>0</v>
      </c>
    </row>
    <row r="12" spans="1:7" s="3" customFormat="1" ht="15">
      <c r="A12" s="9" t="s">
        <v>15</v>
      </c>
      <c r="B12" s="45"/>
      <c r="C12" s="24">
        <v>0</v>
      </c>
      <c r="D12" s="49">
        <v>1.4</v>
      </c>
      <c r="E12" s="50">
        <v>2000</v>
      </c>
      <c r="F12" s="59">
        <f>0.5*C12*0.01*E12</f>
        <v>0</v>
      </c>
      <c r="G12" s="60">
        <f>C12*0.01/D12</f>
        <v>0</v>
      </c>
    </row>
    <row r="13" spans="1:7" s="3" customFormat="1" ht="15">
      <c r="A13" s="9" t="s">
        <v>25</v>
      </c>
      <c r="B13" s="45"/>
      <c r="C13" s="24">
        <v>16</v>
      </c>
      <c r="D13" s="49">
        <v>2.1</v>
      </c>
      <c r="E13" s="50">
        <v>2400</v>
      </c>
      <c r="F13" s="59">
        <f>0.5*C13*0.01*E13</f>
        <v>192</v>
      </c>
      <c r="G13" s="60">
        <f>C13*0.01/D13</f>
        <v>0.07619047619047618</v>
      </c>
    </row>
    <row r="14" spans="1:7" s="3" customFormat="1" ht="27.75" customHeight="1">
      <c r="A14" s="9" t="s">
        <v>107</v>
      </c>
      <c r="B14" s="45"/>
      <c r="C14" s="24">
        <v>0</v>
      </c>
      <c r="D14" s="49" t="s">
        <v>67</v>
      </c>
      <c r="E14" s="50">
        <v>0</v>
      </c>
      <c r="F14" s="59">
        <f aca="true" t="shared" si="0" ref="F14:F20">C14*0.01*E14</f>
        <v>0</v>
      </c>
      <c r="G14" s="60">
        <f>IF(C14&lt;1.3,0,IF(C14&lt;2,0.15,0.16))</f>
        <v>0</v>
      </c>
    </row>
    <row r="15" spans="1:7" s="3" customFormat="1" ht="30.75">
      <c r="A15" s="9" t="s">
        <v>108</v>
      </c>
      <c r="B15" s="45"/>
      <c r="C15" s="24">
        <v>0</v>
      </c>
      <c r="D15" s="49">
        <v>0.04</v>
      </c>
      <c r="E15" s="50">
        <v>30</v>
      </c>
      <c r="F15" s="59">
        <f t="shared" si="0"/>
        <v>0</v>
      </c>
      <c r="G15" s="60">
        <f aca="true" t="shared" si="1" ref="G15:G35">C15*0.01/D15</f>
        <v>0</v>
      </c>
    </row>
    <row r="16" spans="1:7" s="3" customFormat="1" ht="30.75">
      <c r="A16" s="9" t="s">
        <v>109</v>
      </c>
      <c r="B16" s="45"/>
      <c r="C16" s="24">
        <v>0</v>
      </c>
      <c r="D16" s="49">
        <v>0.032</v>
      </c>
      <c r="E16" s="50">
        <v>30</v>
      </c>
      <c r="F16" s="59">
        <f t="shared" si="0"/>
        <v>0</v>
      </c>
      <c r="G16" s="60">
        <f>C16*0.01/D16</f>
        <v>0</v>
      </c>
    </row>
    <row r="17" spans="1:7" s="3" customFormat="1" ht="15">
      <c r="A17" s="9" t="s">
        <v>110</v>
      </c>
      <c r="B17" s="45"/>
      <c r="C17" s="24">
        <v>0</v>
      </c>
      <c r="D17" s="49">
        <v>0.03</v>
      </c>
      <c r="E17" s="50">
        <v>27</v>
      </c>
      <c r="F17" s="59">
        <f t="shared" si="0"/>
        <v>0</v>
      </c>
      <c r="G17" s="60">
        <f>C17*0.01/D17</f>
        <v>0</v>
      </c>
    </row>
    <row r="18" spans="1:7" s="3" customFormat="1" ht="15">
      <c r="A18" s="10" t="s">
        <v>68</v>
      </c>
      <c r="B18" s="46"/>
      <c r="C18" s="24">
        <v>0</v>
      </c>
      <c r="D18" s="49">
        <v>0.04</v>
      </c>
      <c r="E18" s="50">
        <v>25</v>
      </c>
      <c r="F18" s="59">
        <f t="shared" si="0"/>
        <v>0</v>
      </c>
      <c r="G18" s="60">
        <f t="shared" si="1"/>
        <v>0</v>
      </c>
    </row>
    <row r="19" spans="1:7" s="3" customFormat="1" ht="15">
      <c r="A19" s="10" t="s">
        <v>69</v>
      </c>
      <c r="B19" s="46"/>
      <c r="C19" s="24">
        <v>0</v>
      </c>
      <c r="D19" s="49">
        <v>0.21</v>
      </c>
      <c r="E19" s="50">
        <v>900</v>
      </c>
      <c r="F19" s="59">
        <f t="shared" si="0"/>
        <v>0</v>
      </c>
      <c r="G19" s="60">
        <f t="shared" si="1"/>
        <v>0</v>
      </c>
    </row>
    <row r="20" spans="1:7" s="3" customFormat="1" ht="15">
      <c r="A20" s="10" t="s">
        <v>70</v>
      </c>
      <c r="B20" s="46"/>
      <c r="C20" s="24">
        <v>0</v>
      </c>
      <c r="D20" s="49">
        <v>0.58</v>
      </c>
      <c r="E20" s="50">
        <v>2000</v>
      </c>
      <c r="F20" s="59">
        <f t="shared" si="0"/>
        <v>0</v>
      </c>
      <c r="G20" s="60">
        <f t="shared" si="1"/>
        <v>0</v>
      </c>
    </row>
    <row r="21" spans="1:7" s="3" customFormat="1" ht="15">
      <c r="A21" s="10" t="s">
        <v>71</v>
      </c>
      <c r="B21" s="46"/>
      <c r="C21" s="24">
        <v>0</v>
      </c>
      <c r="D21" s="49">
        <v>0.12</v>
      </c>
      <c r="E21" s="50">
        <v>335</v>
      </c>
      <c r="F21" s="59">
        <f>1.04*C21*0.01*E21</f>
        <v>0</v>
      </c>
      <c r="G21" s="60">
        <f t="shared" si="1"/>
        <v>0</v>
      </c>
    </row>
    <row r="22" spans="1:7" s="3" customFormat="1" ht="15">
      <c r="A22" s="10" t="s">
        <v>24</v>
      </c>
      <c r="B22" s="46"/>
      <c r="C22" s="24">
        <v>0</v>
      </c>
      <c r="D22" s="49">
        <v>0.14</v>
      </c>
      <c r="E22" s="50">
        <v>400</v>
      </c>
      <c r="F22" s="59">
        <f>1.04*C22*0.01*E22</f>
        <v>0</v>
      </c>
      <c r="G22" s="60">
        <f t="shared" si="1"/>
        <v>0</v>
      </c>
    </row>
    <row r="23" spans="1:7" s="3" customFormat="1" ht="15">
      <c r="A23" s="10" t="s">
        <v>22</v>
      </c>
      <c r="B23" s="46"/>
      <c r="C23" s="24">
        <v>9</v>
      </c>
      <c r="D23" s="49">
        <v>0.15</v>
      </c>
      <c r="E23" s="50">
        <v>475</v>
      </c>
      <c r="F23" s="59">
        <f>1.04*C23*0.01*E23</f>
        <v>44.46</v>
      </c>
      <c r="G23" s="60">
        <f t="shared" si="1"/>
        <v>0.6</v>
      </c>
    </row>
    <row r="24" spans="1:7" s="3" customFormat="1" ht="15">
      <c r="A24" s="10" t="s">
        <v>98</v>
      </c>
      <c r="B24" s="46"/>
      <c r="C24" s="24">
        <v>0</v>
      </c>
      <c r="D24" s="49">
        <v>0.16</v>
      </c>
      <c r="E24" s="50">
        <v>535</v>
      </c>
      <c r="F24" s="59">
        <f>1.04*C24*0.01*E24</f>
        <v>0</v>
      </c>
      <c r="G24" s="60">
        <f t="shared" si="1"/>
        <v>0</v>
      </c>
    </row>
    <row r="25" spans="1:7" s="3" customFormat="1" ht="15">
      <c r="A25" s="10" t="s">
        <v>99</v>
      </c>
      <c r="B25" s="46"/>
      <c r="C25" s="24">
        <v>0</v>
      </c>
      <c r="D25" s="49">
        <v>0.19</v>
      </c>
      <c r="E25" s="50">
        <v>600</v>
      </c>
      <c r="F25" s="59">
        <f>1.04*C25*0.01*E25</f>
        <v>0</v>
      </c>
      <c r="G25" s="60">
        <f t="shared" si="1"/>
        <v>0</v>
      </c>
    </row>
    <row r="26" spans="1:7" s="3" customFormat="1" ht="47.25">
      <c r="A26" s="9" t="s">
        <v>113</v>
      </c>
      <c r="B26" s="47" t="str">
        <f>IF(C26=0," ",IF(C26&lt;&gt;22,"עובי הבלוק האפשרי 
הינו 22 סמ' בלבד"," "))</f>
        <v> </v>
      </c>
      <c r="C26" s="24">
        <v>22</v>
      </c>
      <c r="D26" s="51">
        <f>0.22/0.93</f>
        <v>0.23655913978494622</v>
      </c>
      <c r="E26" s="50">
        <v>860</v>
      </c>
      <c r="F26" s="61">
        <f>IF(C26=0,C26*0.01*E26,IF(C26&lt;&gt;22,1/0,C26*0.01*E26))</f>
        <v>189.2</v>
      </c>
      <c r="G26" s="60">
        <f>IF(C26=22,C26*0.01/D26,0)</f>
        <v>0.93</v>
      </c>
    </row>
    <row r="27" spans="1:7" s="3" customFormat="1" ht="40.5" customHeight="1">
      <c r="A27" s="9" t="s">
        <v>111</v>
      </c>
      <c r="B27" s="47" t="str">
        <f>IF(C27=0," ",IF(C27&lt;&gt;20,"עובי הבלוק האפשרי 
הינו 20 סמ' בלבד"," "))</f>
        <v> </v>
      </c>
      <c r="C27" s="24">
        <v>0</v>
      </c>
      <c r="D27" s="51">
        <f>0.2/0.88</f>
        <v>0.2272727272727273</v>
      </c>
      <c r="E27" s="50">
        <v>745</v>
      </c>
      <c r="F27" s="61">
        <f>IF(C27=0,C27*0.01*E27,IF(C27&lt;&gt;20,1/0,C27*0.01*E27))</f>
        <v>0</v>
      </c>
      <c r="G27" s="60">
        <f>IF(C27=20,C27*0.01/D27,0)</f>
        <v>0</v>
      </c>
    </row>
    <row r="28" spans="1:7" s="3" customFormat="1" ht="42" customHeight="1">
      <c r="A28" s="9" t="s">
        <v>112</v>
      </c>
      <c r="B28" s="47" t="str">
        <f>IF(C28=0," ",IF(C28&lt;&gt;22,"עובי הבלוק האפשרי 
הינו 22 סמ' בלבד"," "))</f>
        <v> </v>
      </c>
      <c r="C28" s="24">
        <v>0</v>
      </c>
      <c r="D28" s="51">
        <f>0.22/0.88</f>
        <v>0.25</v>
      </c>
      <c r="E28" s="50">
        <v>795</v>
      </c>
      <c r="F28" s="61">
        <f>IF(C28=0,C28*0.01*E28,IF(C28&lt;&gt;22,1/0,C28*0.01*E28))</f>
        <v>0</v>
      </c>
      <c r="G28" s="60">
        <f>IF(C28=22,C28*0.01/D28,0)</f>
        <v>0</v>
      </c>
    </row>
    <row r="29" spans="1:7" s="3" customFormat="1" ht="42" customHeight="1">
      <c r="A29" s="9" t="s">
        <v>114</v>
      </c>
      <c r="B29" s="47" t="str">
        <f>IF(C29=0," ",IF(C29&lt;&gt;22,"עובי הבלוק האפשרי 
הינו 22 סמ' בלבד"," "))</f>
        <v> </v>
      </c>
      <c r="C29" s="24">
        <v>0</v>
      </c>
      <c r="D29" s="51">
        <f>0.22/0.78</f>
        <v>0.28205128205128205</v>
      </c>
      <c r="E29" s="50">
        <v>848</v>
      </c>
      <c r="F29" s="61">
        <f>IF(C29=0,C29*0.01*E29,IF(C29&lt;&gt;22,1/0,C29*0.01*E29))</f>
        <v>0</v>
      </c>
      <c r="G29" s="60">
        <f>IF(C29=22,C29*0.01/D29,0)</f>
        <v>0</v>
      </c>
    </row>
    <row r="30" spans="1:7" s="3" customFormat="1" ht="42" customHeight="1">
      <c r="A30" s="9" t="s">
        <v>115</v>
      </c>
      <c r="B30" s="47" t="str">
        <f>IF(C30=0," ",IF(C30&lt;&gt;20,"עובי הבלוק האפשרי 
הינו 20 סמ' בלבד"," "))</f>
        <v> </v>
      </c>
      <c r="C30" s="24">
        <v>0</v>
      </c>
      <c r="D30" s="51">
        <f>0.2/0.73</f>
        <v>0.27397260273972607</v>
      </c>
      <c r="E30" s="50">
        <v>825</v>
      </c>
      <c r="F30" s="61">
        <f>IF(C30=0,C30*0.01*E30,IF(C30&lt;&gt;20,1/0,C30*0.01*E30))</f>
        <v>0</v>
      </c>
      <c r="G30" s="60">
        <f>IF(C30=20,C30*0.01/D30,0)</f>
        <v>0</v>
      </c>
    </row>
    <row r="31" spans="1:7" s="3" customFormat="1" ht="16.5">
      <c r="A31" s="10" t="s">
        <v>116</v>
      </c>
      <c r="B31" s="47" t="str">
        <f>IF(C31=0," ",IF(C31&lt;&gt;25,"עובי הבלוק האפשרי 
הינו 25 סמ' בלבד"," "))</f>
        <v> </v>
      </c>
      <c r="C31" s="24">
        <v>0</v>
      </c>
      <c r="D31" s="51">
        <f>0.25/2.9</f>
        <v>0.08620689655172414</v>
      </c>
      <c r="E31" s="50">
        <f>(14/25)*850</f>
        <v>476.00000000000006</v>
      </c>
      <c r="F31" s="61">
        <f>IF(C31=0,C31*0.01*E31,IF(C31&lt;&gt;25,1/0,C31*0.01*E31))</f>
        <v>0</v>
      </c>
      <c r="G31" s="60">
        <f t="shared" si="1"/>
        <v>0</v>
      </c>
    </row>
    <row r="32" spans="1:7" s="3" customFormat="1" ht="15">
      <c r="A32" s="10" t="s">
        <v>74</v>
      </c>
      <c r="B32" s="46"/>
      <c r="C32" s="24">
        <v>0</v>
      </c>
      <c r="D32" s="51">
        <f>0.2/0.45</f>
        <v>0.4444444444444445</v>
      </c>
      <c r="E32" s="50">
        <v>1300</v>
      </c>
      <c r="F32" s="59">
        <f aca="true" t="shared" si="2" ref="F32:F44">C32*0.01*E32</f>
        <v>0</v>
      </c>
      <c r="G32" s="60">
        <f t="shared" si="1"/>
        <v>0</v>
      </c>
    </row>
    <row r="33" spans="1:7" s="3" customFormat="1" ht="15">
      <c r="A33" s="10" t="s">
        <v>100</v>
      </c>
      <c r="B33" s="46"/>
      <c r="C33" s="24">
        <v>0</v>
      </c>
      <c r="D33" s="51">
        <v>0.235</v>
      </c>
      <c r="E33" s="50">
        <v>780</v>
      </c>
      <c r="F33" s="59">
        <f t="shared" si="2"/>
        <v>0</v>
      </c>
      <c r="G33" s="60">
        <f t="shared" si="1"/>
        <v>0</v>
      </c>
    </row>
    <row r="34" spans="1:7" s="3" customFormat="1" ht="15">
      <c r="A34" s="9" t="s">
        <v>25</v>
      </c>
      <c r="B34" s="45"/>
      <c r="C34" s="24">
        <v>0</v>
      </c>
      <c r="D34" s="49">
        <v>2.1</v>
      </c>
      <c r="E34" s="50">
        <v>2400</v>
      </c>
      <c r="F34" s="59">
        <f t="shared" si="2"/>
        <v>0</v>
      </c>
      <c r="G34" s="60">
        <f t="shared" si="1"/>
        <v>0</v>
      </c>
    </row>
    <row r="35" spans="1:7" s="3" customFormat="1" ht="15">
      <c r="A35" s="10" t="s">
        <v>68</v>
      </c>
      <c r="B35" s="46"/>
      <c r="C35" s="24">
        <v>0</v>
      </c>
      <c r="D35" s="49">
        <v>0.04</v>
      </c>
      <c r="E35" s="50">
        <v>25</v>
      </c>
      <c r="F35" s="59">
        <f t="shared" si="2"/>
        <v>0</v>
      </c>
      <c r="G35" s="60">
        <f t="shared" si="1"/>
        <v>0</v>
      </c>
    </row>
    <row r="36" spans="1:7" s="3" customFormat="1" ht="30.75" customHeight="1">
      <c r="A36" s="9" t="s">
        <v>107</v>
      </c>
      <c r="B36" s="45"/>
      <c r="C36" s="24">
        <v>0</v>
      </c>
      <c r="D36" s="49" t="s">
        <v>67</v>
      </c>
      <c r="E36" s="50">
        <v>0</v>
      </c>
      <c r="F36" s="59">
        <f t="shared" si="2"/>
        <v>0</v>
      </c>
      <c r="G36" s="60">
        <f>IF(C36&lt;1.3,0,IF(C36&lt;2,0.15,0.16))</f>
        <v>0</v>
      </c>
    </row>
    <row r="37" spans="1:7" s="3" customFormat="1" ht="30.75" customHeight="1">
      <c r="A37" s="9" t="s">
        <v>108</v>
      </c>
      <c r="B37" s="45"/>
      <c r="C37" s="24">
        <v>0</v>
      </c>
      <c r="D37" s="49">
        <v>0.04</v>
      </c>
      <c r="E37" s="50">
        <v>30</v>
      </c>
      <c r="F37" s="59">
        <f t="shared" si="2"/>
        <v>0</v>
      </c>
      <c r="G37" s="60">
        <f aca="true" t="shared" si="3" ref="G37:G44">C37*0.01/D37</f>
        <v>0</v>
      </c>
    </row>
    <row r="38" spans="1:7" s="3" customFormat="1" ht="45.75" customHeight="1">
      <c r="A38" s="9" t="s">
        <v>109</v>
      </c>
      <c r="B38" s="45"/>
      <c r="C38" s="24">
        <v>0</v>
      </c>
      <c r="D38" s="49">
        <v>0.032</v>
      </c>
      <c r="E38" s="50">
        <v>30</v>
      </c>
      <c r="F38" s="59">
        <f t="shared" si="2"/>
        <v>0</v>
      </c>
      <c r="G38" s="60">
        <f t="shared" si="3"/>
        <v>0</v>
      </c>
    </row>
    <row r="39" spans="1:7" s="3" customFormat="1" ht="15">
      <c r="A39" s="9" t="s">
        <v>110</v>
      </c>
      <c r="B39" s="45"/>
      <c r="C39" s="24">
        <v>0</v>
      </c>
      <c r="D39" s="51">
        <v>0.03</v>
      </c>
      <c r="E39" s="50">
        <v>27</v>
      </c>
      <c r="F39" s="59">
        <f t="shared" si="2"/>
        <v>0</v>
      </c>
      <c r="G39" s="60">
        <f t="shared" si="3"/>
        <v>0</v>
      </c>
    </row>
    <row r="40" spans="1:7" s="3" customFormat="1" ht="15">
      <c r="A40" s="10" t="s">
        <v>69</v>
      </c>
      <c r="B40" s="46"/>
      <c r="C40" s="24">
        <v>0</v>
      </c>
      <c r="D40" s="49">
        <v>0.21</v>
      </c>
      <c r="E40" s="50">
        <v>900</v>
      </c>
      <c r="F40" s="59">
        <f t="shared" si="2"/>
        <v>0</v>
      </c>
      <c r="G40" s="60">
        <f t="shared" si="3"/>
        <v>0</v>
      </c>
    </row>
    <row r="41" spans="1:7" s="3" customFormat="1" ht="15">
      <c r="A41" s="10" t="s">
        <v>72</v>
      </c>
      <c r="B41" s="46"/>
      <c r="C41" s="24">
        <v>0</v>
      </c>
      <c r="D41" s="49">
        <v>0.14</v>
      </c>
      <c r="E41" s="50">
        <v>450</v>
      </c>
      <c r="F41" s="59">
        <f t="shared" si="2"/>
        <v>0</v>
      </c>
      <c r="G41" s="60">
        <f t="shared" si="3"/>
        <v>0</v>
      </c>
    </row>
    <row r="42" spans="1:7" s="3" customFormat="1" ht="15">
      <c r="A42" s="10" t="s">
        <v>73</v>
      </c>
      <c r="B42" s="46"/>
      <c r="C42" s="24">
        <v>0</v>
      </c>
      <c r="D42" s="49">
        <v>0.08</v>
      </c>
      <c r="E42" s="50">
        <v>200</v>
      </c>
      <c r="F42" s="59">
        <f t="shared" si="2"/>
        <v>0</v>
      </c>
      <c r="G42" s="60">
        <f t="shared" si="3"/>
        <v>0</v>
      </c>
    </row>
    <row r="43" spans="1:7" s="3" customFormat="1" ht="15">
      <c r="A43" s="9" t="s">
        <v>29</v>
      </c>
      <c r="B43" s="45"/>
      <c r="C43" s="24">
        <v>0</v>
      </c>
      <c r="D43" s="49">
        <v>0.87</v>
      </c>
      <c r="E43" s="50">
        <v>1800</v>
      </c>
      <c r="F43" s="59">
        <f t="shared" si="2"/>
        <v>0</v>
      </c>
      <c r="G43" s="60">
        <f t="shared" si="3"/>
        <v>0</v>
      </c>
    </row>
    <row r="44" spans="1:7" s="3" customFormat="1" ht="15.75" thickBot="1">
      <c r="A44" s="11" t="s">
        <v>8</v>
      </c>
      <c r="B44" s="48"/>
      <c r="C44" s="25">
        <v>2</v>
      </c>
      <c r="D44" s="52">
        <v>0.35</v>
      </c>
      <c r="E44" s="53">
        <v>1200</v>
      </c>
      <c r="F44" s="62">
        <f t="shared" si="2"/>
        <v>24</v>
      </c>
      <c r="G44" s="63">
        <f t="shared" si="3"/>
        <v>0.05714285714285715</v>
      </c>
    </row>
    <row r="45" spans="1:7" s="6" customFormat="1" ht="18.75" thickBot="1" thickTop="1">
      <c r="A45" s="12" t="s">
        <v>11</v>
      </c>
      <c r="B45" s="43"/>
      <c r="C45" s="13">
        <f>SUM(C9:C44)</f>
        <v>51</v>
      </c>
      <c r="D45" s="13"/>
      <c r="E45" s="13"/>
      <c r="F45" s="68">
        <f>SUM(F9:F44)</f>
        <v>475.65999999999997</v>
      </c>
      <c r="G45" s="64">
        <f>IF(F45&gt;0,SUM(G9:G44),1/0)</f>
        <v>1.6720289855072463</v>
      </c>
    </row>
    <row r="49" spans="1:8" s="15" customFormat="1" ht="27" customHeight="1">
      <c r="A49" s="88" t="s">
        <v>138</v>
      </c>
      <c r="B49" s="88"/>
      <c r="C49" s="88"/>
      <c r="D49" s="88"/>
      <c r="E49" s="88"/>
      <c r="F49" s="88"/>
      <c r="G49" s="88"/>
      <c r="H49" s="88"/>
    </row>
    <row r="50" spans="3:8" s="22" customFormat="1" ht="43.5" customHeight="1">
      <c r="C50" s="89" t="s">
        <v>16</v>
      </c>
      <c r="D50" s="89"/>
      <c r="E50" s="69">
        <f>F45</f>
        <v>475.65999999999997</v>
      </c>
      <c r="F50" s="23" t="s">
        <v>17</v>
      </c>
      <c r="G50" s="91" t="s">
        <v>139</v>
      </c>
      <c r="H50" s="91"/>
    </row>
    <row r="51" spans="1:8" s="22" customFormat="1" ht="42" customHeight="1">
      <c r="A51" s="14"/>
      <c r="B51" s="14"/>
      <c r="C51" s="88" t="s">
        <v>18</v>
      </c>
      <c r="D51" s="88"/>
      <c r="E51" s="16" t="s">
        <v>19</v>
      </c>
      <c r="F51" s="23">
        <f>IF($F$45&gt;300,0.65,IF($F$45&gt;200,1.25-0.002*$F$45,IF($F$45&gt;150,1.65-0.004*$F$45,IF($F$45&gt;100,2.1-0.007*$F$45,1.4))))</f>
        <v>0.65</v>
      </c>
      <c r="G51" s="90" t="s">
        <v>120</v>
      </c>
      <c r="H51" s="90"/>
    </row>
    <row r="52" s="15" customFormat="1" ht="12">
      <c r="D52" s="17"/>
    </row>
    <row r="53" spans="1:2" s="15" customFormat="1" ht="18">
      <c r="A53" s="18" t="s">
        <v>9</v>
      </c>
      <c r="B53" s="18"/>
    </row>
    <row r="54" spans="1:8" s="15" customFormat="1" ht="20.25" customHeight="1">
      <c r="A54" s="19" t="s">
        <v>131</v>
      </c>
      <c r="B54" s="19"/>
      <c r="F54" s="95" t="str">
        <f>IF(F45&gt;250,"אלמנט כבד",IF(F45&gt;100,"אלמנט חצי כבד","!!!אלמנט קל"))</f>
        <v>אלמנט כבד</v>
      </c>
      <c r="G54" s="95"/>
      <c r="H54" s="95"/>
    </row>
    <row r="55" spans="1:8" s="15" customFormat="1" ht="21">
      <c r="A55" s="19" t="s">
        <v>132</v>
      </c>
      <c r="B55" s="19"/>
      <c r="F55" s="20" t="s">
        <v>21</v>
      </c>
      <c r="G55" s="77">
        <f>G45</f>
        <v>1.6720289855072463</v>
      </c>
      <c r="H55" s="21" t="s">
        <v>20</v>
      </c>
    </row>
    <row r="56" spans="1:8" s="15" customFormat="1" ht="21">
      <c r="A56" s="19" t="s">
        <v>133</v>
      </c>
      <c r="B56" s="19"/>
      <c r="F56" s="20" t="s">
        <v>21</v>
      </c>
      <c r="G56" s="77">
        <f>F51</f>
        <v>0.65</v>
      </c>
      <c r="H56" s="21" t="s">
        <v>20</v>
      </c>
    </row>
    <row r="57" spans="1:8" ht="21">
      <c r="A57" s="19" t="s">
        <v>127</v>
      </c>
      <c r="B57" s="19"/>
      <c r="D57" s="70">
        <f>IF(F45&gt;=250,1.25,IF(F45&gt;=100,0.975,0.85))</f>
        <v>1.25</v>
      </c>
      <c r="E57" s="21" t="s">
        <v>104</v>
      </c>
      <c r="F57" s="20" t="s">
        <v>21</v>
      </c>
      <c r="G57" s="77">
        <f>1/D57-0.16</f>
        <v>0.64</v>
      </c>
      <c r="H57" s="21" t="s">
        <v>20</v>
      </c>
    </row>
    <row r="58" spans="1:8" ht="21">
      <c r="A58" s="19" t="s">
        <v>128</v>
      </c>
      <c r="B58" s="19"/>
      <c r="D58" s="70">
        <f>IF(F45&gt;=250,1,IF(F45&gt;=100,0.9,0.7))</f>
        <v>1</v>
      </c>
      <c r="E58" s="21" t="s">
        <v>104</v>
      </c>
      <c r="F58" s="20" t="s">
        <v>21</v>
      </c>
      <c r="G58" s="77">
        <f>1/D58-0.16</f>
        <v>0.84</v>
      </c>
      <c r="H58" s="21" t="s">
        <v>20</v>
      </c>
    </row>
    <row r="59" spans="1:8" ht="21">
      <c r="A59" s="19" t="s">
        <v>129</v>
      </c>
      <c r="B59" s="19"/>
      <c r="D59" s="70">
        <f>IF(F45&gt;=250,0.6,IF(F45&gt;=100,0.6,0.475))</f>
        <v>0.6</v>
      </c>
      <c r="E59" s="21" t="s">
        <v>104</v>
      </c>
      <c r="F59" s="20" t="s">
        <v>21</v>
      </c>
      <c r="G59" s="77">
        <f>1/D59-0.16</f>
        <v>1.5066666666666668</v>
      </c>
      <c r="H59" s="21" t="s">
        <v>20</v>
      </c>
    </row>
    <row r="60" spans="1:8" ht="19.5">
      <c r="A60" s="19"/>
      <c r="B60" s="19"/>
      <c r="D60" s="70"/>
      <c r="E60" s="21"/>
      <c r="F60" s="20"/>
      <c r="G60" s="65"/>
      <c r="H60" s="21"/>
    </row>
    <row r="63" spans="1:7" ht="22.5">
      <c r="A63" s="8" t="s">
        <v>101</v>
      </c>
      <c r="B63" s="8"/>
      <c r="D63" s="67" t="str">
        <f>IF(G55&gt;=G56,"עונה","אינה עונה")</f>
        <v>עונה</v>
      </c>
      <c r="E63" s="8" t="s">
        <v>102</v>
      </c>
      <c r="G63" s="66"/>
    </row>
    <row r="64" spans="1:7" ht="22.5">
      <c r="A64" s="8" t="s">
        <v>101</v>
      </c>
      <c r="B64" s="8"/>
      <c r="D64" s="73" t="str">
        <f>IF(AND(G55&gt;=G57,F45&lt;100),"*עונה",IF(AND(G55&gt;=G57),"עונה","אינה עונה"))</f>
        <v>עונה</v>
      </c>
      <c r="E64" s="8" t="s">
        <v>103</v>
      </c>
      <c r="G64" s="71" t="str">
        <f>IF(G55&gt;=G59,"A דרגה",IF(G55&gt;=G58,"B דרגה",IF(G55&gt;=G57,"C,D,E דרגה"," ")))</f>
        <v>A דרגה</v>
      </c>
    </row>
    <row r="65" spans="1:8" ht="62.25" customHeight="1">
      <c r="A65" s="100" t="str">
        <f>IF(AND(F45&lt;100,G45&gt;=G57),"*שים לב, קיר חוץ זה מוגדר כאלמנט קל והוא עונה לדרישות תקן 5282 בתנאי שהוא ממוקם במבנה כבד בלבד"," ")</f>
        <v> </v>
      </c>
      <c r="B65" s="100"/>
      <c r="C65" s="100"/>
      <c r="D65" s="100"/>
      <c r="E65" s="100"/>
      <c r="F65" s="100"/>
      <c r="G65" s="100"/>
      <c r="H65" s="100"/>
    </row>
    <row r="66" spans="1:8" ht="22.5">
      <c r="A66" s="72"/>
      <c r="B66" s="72"/>
      <c r="C66" s="72"/>
      <c r="D66" s="72"/>
      <c r="E66" s="72"/>
      <c r="F66" s="72"/>
      <c r="G66" s="72"/>
      <c r="H66" s="72"/>
    </row>
    <row r="67" spans="1:8" ht="135.75" customHeight="1">
      <c r="A67" s="93" t="s">
        <v>134</v>
      </c>
      <c r="B67" s="94"/>
      <c r="C67" s="94"/>
      <c r="D67" s="94"/>
      <c r="E67" s="94"/>
      <c r="F67" s="94"/>
      <c r="G67" s="94"/>
      <c r="H67" s="94"/>
    </row>
    <row r="68" spans="1:8" ht="179.25" customHeight="1">
      <c r="A68" s="101" t="s">
        <v>135</v>
      </c>
      <c r="B68" s="102"/>
      <c r="C68" s="102"/>
      <c r="D68" s="102"/>
      <c r="E68" s="102"/>
      <c r="F68" s="102"/>
      <c r="G68" s="102"/>
      <c r="H68" s="102"/>
    </row>
    <row r="69" spans="1:8" ht="22.5">
      <c r="A69" s="72"/>
      <c r="B69" s="72"/>
      <c r="C69" s="72"/>
      <c r="D69" s="72"/>
      <c r="E69" s="72"/>
      <c r="F69" s="72"/>
      <c r="G69" s="72"/>
      <c r="H69" s="72"/>
    </row>
    <row r="71" spans="1:8" ht="12">
      <c r="A71" s="99" t="s">
        <v>105</v>
      </c>
      <c r="B71" s="99"/>
      <c r="C71" s="99"/>
      <c r="D71" s="99"/>
      <c r="E71" s="99"/>
      <c r="F71" s="99"/>
      <c r="G71" s="99"/>
      <c r="H71" s="99"/>
    </row>
    <row r="72" spans="1:8" ht="12">
      <c r="A72" s="99"/>
      <c r="B72" s="99"/>
      <c r="C72" s="99"/>
      <c r="D72" s="99"/>
      <c r="E72" s="99"/>
      <c r="F72" s="99"/>
      <c r="G72" s="99"/>
      <c r="H72" s="99"/>
    </row>
  </sheetData>
  <sheetProtection/>
  <protectedRanges>
    <protectedRange sqref="A9:A44" name="טווח3"/>
    <protectedRange sqref="A3:G3 A2:F2" name="טווח2"/>
    <protectedRange sqref="C9:C44" name="טווח1"/>
    <protectedRange sqref="G2" name="טווח2_2_2"/>
  </protectedRanges>
  <mergeCells count="13">
    <mergeCell ref="A3:G3"/>
    <mergeCell ref="A4:G4"/>
    <mergeCell ref="A6:G6"/>
    <mergeCell ref="A49:H49"/>
    <mergeCell ref="C50:D50"/>
    <mergeCell ref="G50:H50"/>
    <mergeCell ref="A71:H72"/>
    <mergeCell ref="C51:D51"/>
    <mergeCell ref="G51:H51"/>
    <mergeCell ref="F54:H54"/>
    <mergeCell ref="A65:H65"/>
    <mergeCell ref="A67:H67"/>
    <mergeCell ref="A68:H68"/>
  </mergeCells>
  <printOptions horizontalCentered="1" verticalCentered="1"/>
  <pageMargins left="0.7480314960629921" right="0.7480314960629921" top="0.984251968503937" bottom="0.984251968503937" header="0.5118110236220472" footer="0.5118110236220472"/>
  <pageSetup fitToHeight="1" fitToWidth="1" horizontalDpi="300" verticalDpi="300" orientation="portrait" paperSize="9" scale="35" r:id="rId2"/>
  <headerFooter alignWithMargins="0">
    <oddHeader>&amp;C&amp;F
&amp;A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YTONG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Avi Gordon</dc:creator>
  <cp:keywords/>
  <dc:description/>
  <cp:lastModifiedBy>Ilan</cp:lastModifiedBy>
  <cp:lastPrinted>2010-12-30T10:47:52Z</cp:lastPrinted>
  <dcterms:created xsi:type="dcterms:W3CDTF">2010-12-02T09:28:46Z</dcterms:created>
  <dcterms:modified xsi:type="dcterms:W3CDTF">2020-06-02T05:01:29Z</dcterms:modified>
  <cp:category/>
  <cp:version/>
  <cp:contentType/>
  <cp:contentStatus/>
</cp:coreProperties>
</file>